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https://hyvinvointiala-my.sharepoint.com/personal/tiina_kanerva_hyvinvointiala_fi/Documents/Tiedotteet/"/>
    </mc:Choice>
  </mc:AlternateContent>
  <xr:revisionPtr revIDLastSave="1106" documentId="8_{9B6C0866-F8BA-4166-A73E-05AF280071A2}" xr6:coauthVersionLast="47" xr6:coauthVersionMax="47" xr10:uidLastSave="{35F5423D-4F63-4126-9952-B7026D08A2F3}"/>
  <bookViews>
    <workbookView xWindow="75" yWindow="0" windowWidth="16875" windowHeight="15930" xr2:uid="{3DA8BF31-3F5C-4E66-83DE-E2C9F0320606}"/>
  </bookViews>
  <sheets>
    <sheet name="Taul1 (2)" sheetId="2" r:id="rId1"/>
    <sheet name="Taul1" sheetId="1" r:id="rId2"/>
  </sheets>
  <calcPr calcId="191029"/>
  <oleSize ref="C2:AJ96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<sst xmlns="http://schemas.openxmlformats.org/spreadsheetml/2006/main" count="334" uniqueCount="56">
  <si>
    <t>€/Vuosi TP 2020</t>
  </si>
  <si>
    <t>Asiakaspaikat</t>
  </si>
  <si>
    <t>Henkilöstökulut sis. Työvoiman vuokraus</t>
  </si>
  <si>
    <t>Palvelujen ostot ilman ateria- ja puhtaanapitopalveluja</t>
  </si>
  <si>
    <t>Siivous ja pesulapalveluiden ostot</t>
  </si>
  <si>
    <t>Ateriapalveluostot</t>
  </si>
  <si>
    <t>Asiakaspalvelujen ostot</t>
  </si>
  <si>
    <t>Aineet, tarvikkeet ja tavarat</t>
  </si>
  <si>
    <t>Vuokrakulut</t>
  </si>
  <si>
    <t>Muut toimintakulut</t>
  </si>
  <si>
    <t>Rahoitustuotot ja -kulut</t>
  </si>
  <si>
    <t>Poistot</t>
  </si>
  <si>
    <t>Vyörytykset</t>
  </si>
  <si>
    <t>Toimintamenot yhteensä</t>
  </si>
  <si>
    <t>Asukkailta kerätyt vuokratulot</t>
  </si>
  <si>
    <t>KATTAMATTOMAT VUOKRAKULUT</t>
  </si>
  <si>
    <t>Toimintamenot yhteensä kerättyjen asukasvuokrien jälkeen</t>
  </si>
  <si>
    <t>Toimintamenot hoiva + ateria €/asukas/vrk*</t>
  </si>
  <si>
    <t>Hoivavuorokaudet vuodessa</t>
  </si>
  <si>
    <t>Täyttöaste vuositasolla, oletus 97%</t>
  </si>
  <si>
    <t>Myyntituotot/vrk</t>
  </si>
  <si>
    <t>Maksutuotot/vrk</t>
  </si>
  <si>
    <t>Muut tulot/vrk</t>
  </si>
  <si>
    <t>Tulot yhteensä/vrk</t>
  </si>
  <si>
    <t>Nettokustannukset hoiva ja ateriamaksutulojen jälkeen €/vrk</t>
  </si>
  <si>
    <t>Bruttohinta 5 % vyörytyksillä</t>
  </si>
  <si>
    <t>Ostopalvelun hinta hoiva + ateria €/asukas/vrk</t>
  </si>
  <si>
    <t>Kunnan saama alv palautus -5 % (Ostopalvelu)</t>
  </si>
  <si>
    <t>Ostopalvelun kustannus kunnalle hoiva + ateria €/vrk</t>
  </si>
  <si>
    <t>Espoo</t>
  </si>
  <si>
    <t>PHHYKY</t>
  </si>
  <si>
    <t>Kymsote</t>
  </si>
  <si>
    <t>Siunsote</t>
  </si>
  <si>
    <t>Jyväskylä</t>
  </si>
  <si>
    <t>Tampere</t>
  </si>
  <si>
    <t>Nokia</t>
  </si>
  <si>
    <t>Pori</t>
  </si>
  <si>
    <t>Salo</t>
  </si>
  <si>
    <t>Kuopio</t>
  </si>
  <si>
    <t>Seinäjoki</t>
  </si>
  <si>
    <t>Oulu</t>
  </si>
  <si>
    <t>Yhteensä</t>
  </si>
  <si>
    <t>Vuorohoitopaikkojen määrä*</t>
  </si>
  <si>
    <t>Bruttohinta vyörytyksillä</t>
  </si>
  <si>
    <t>Ostopalvelun kustannus kunnalle</t>
  </si>
  <si>
    <t>Kustannukset vyörytyksillä</t>
  </si>
  <si>
    <t>Kustannukset</t>
  </si>
  <si>
    <t xml:space="preserve">Kunnan toimintamenot bruttona </t>
  </si>
  <si>
    <t>kuntaa</t>
  </si>
  <si>
    <t>yksikköä</t>
  </si>
  <si>
    <t>Rovaniemi</t>
  </si>
  <si>
    <t>Turku</t>
  </si>
  <si>
    <t>SOTILASKORVAUKSET!!!</t>
  </si>
  <si>
    <t>ok</t>
  </si>
  <si>
    <t>Seinäjoki*</t>
  </si>
  <si>
    <t>Kuopio*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</si>
</sst>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\ %"/>
    <numFmt numFmtId="165" formatCode="0.0"/>
  </numFmts>
  <fonts count="1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sz val="11"/>
      <name val="Arial"/>
      <family val="2"/>
      <scheme val="minor"/>
    </font>
    <font>
      <b/>
      <i/>
      <sz val="11"/>
      <color rgb="FFFF0000"/>
      <name val="Calibri"/>
      <family val="2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u/>
      <sz val="11"/>
      <color rgb="FFFF0000"/>
      <name val="Calibri"/>
      <family val="2"/>
    </font>
    <font>
      <b/>
      <u/>
      <sz val="11"/>
      <color rgb="FF92D050"/>
      <name val="Calibri"/>
      <family val="2"/>
    </font>
    <font>
      <b/>
      <u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10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vertical="top" wrapText="1"/>
    </xf>
    <xf numFmtId="0" fontId="5" fillId="5" borderId="4" xfId="0" applyFont="1" applyFill="1" applyBorder="1" applyAlignment="1">
      <alignment horizontal="left" vertical="top" wrapText="1"/>
    </xf>
    <xf numFmtId="2" fontId="5" fillId="3" borderId="2" xfId="0" applyNumberFormat="1" applyFont="1" applyFill="1" applyBorder="1" applyAlignment="1">
      <alignment vertical="top" wrapText="1"/>
    </xf>
    <xf numFmtId="3" fontId="3" fillId="4" borderId="6" xfId="0" applyNumberFormat="1" applyFont="1" applyFill="1" applyBorder="1" applyAlignment="1">
      <alignment horizontal="left" vertical="top" wrapText="1"/>
    </xf>
    <xf numFmtId="2" fontId="3" fillId="4" borderId="4" xfId="0" applyNumberFormat="1" applyFont="1" applyFill="1" applyBorder="1" applyAlignment="1">
      <alignment horizontal="left" vertical="top" wrapText="1"/>
    </xf>
    <xf numFmtId="2" fontId="5" fillId="4" borderId="4" xfId="0" applyNumberFormat="1" applyFont="1" applyFill="1" applyBorder="1" applyAlignment="1">
      <alignment horizontal="left" vertical="top" wrapText="1"/>
    </xf>
    <xf numFmtId="2" fontId="2" fillId="3" borderId="2" xfId="0" applyNumberFormat="1" applyFont="1" applyFill="1" applyBorder="1" applyAlignment="1">
      <alignment horizontal="left" vertical="top" wrapText="1"/>
    </xf>
    <xf numFmtId="2" fontId="3" fillId="5" borderId="4" xfId="0" applyNumberFormat="1" applyFont="1" applyFill="1" applyBorder="1" applyAlignment="1">
      <alignment horizontal="left" vertical="top" wrapText="1"/>
    </xf>
    <xf numFmtId="2" fontId="5" fillId="4" borderId="7" xfId="0" applyNumberFormat="1" applyFont="1" applyFill="1" applyBorder="1" applyAlignment="1">
      <alignment horizontal="left" vertical="top" wrapText="1"/>
    </xf>
    <xf numFmtId="2" fontId="5" fillId="3" borderId="2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right" vertical="top" wrapText="1"/>
    </xf>
    <xf numFmtId="3" fontId="3" fillId="4" borderId="6" xfId="0" applyNumberFormat="1" applyFont="1" applyFill="1" applyBorder="1" applyAlignment="1">
      <alignment horizontal="right" vertical="top" wrapText="1"/>
    </xf>
    <xf numFmtId="3" fontId="3" fillId="4" borderId="11" xfId="0" applyNumberFormat="1" applyFont="1" applyFill="1" applyBorder="1" applyAlignment="1">
      <alignment horizontal="right" vertical="top" wrapText="1"/>
    </xf>
    <xf numFmtId="2" fontId="3" fillId="4" borderId="4" xfId="0" applyNumberFormat="1" applyFont="1" applyFill="1" applyBorder="1" applyAlignment="1">
      <alignment horizontal="right" vertical="top" wrapText="1"/>
    </xf>
    <xf numFmtId="2" fontId="3" fillId="4" borderId="9" xfId="0" applyNumberFormat="1" applyFont="1" applyFill="1" applyBorder="1" applyAlignment="1">
      <alignment horizontal="right" vertical="top" wrapText="1"/>
    </xf>
    <xf numFmtId="2" fontId="5" fillId="4" borderId="4" xfId="0" applyNumberFormat="1" applyFont="1" applyFill="1" applyBorder="1" applyAlignment="1">
      <alignment horizontal="right" vertical="top" wrapText="1"/>
    </xf>
    <xf numFmtId="2" fontId="5" fillId="4" borderId="9" xfId="0" applyNumberFormat="1" applyFont="1" applyFill="1" applyBorder="1" applyAlignment="1">
      <alignment horizontal="right" vertical="top" wrapText="1"/>
    </xf>
    <xf numFmtId="2" fontId="2" fillId="3" borderId="2" xfId="0" applyNumberFormat="1" applyFont="1" applyFill="1" applyBorder="1" applyAlignment="1">
      <alignment horizontal="right" vertical="top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3" fillId="5" borderId="4" xfId="0" applyNumberFormat="1" applyFont="1" applyFill="1" applyBorder="1" applyAlignment="1">
      <alignment horizontal="right" vertical="top" wrapText="1"/>
    </xf>
    <xf numFmtId="2" fontId="3" fillId="5" borderId="9" xfId="0" applyNumberFormat="1" applyFont="1" applyFill="1" applyBorder="1" applyAlignment="1">
      <alignment horizontal="right" vertical="top" wrapText="1"/>
    </xf>
    <xf numFmtId="2" fontId="5" fillId="4" borderId="7" xfId="0" applyNumberFormat="1" applyFont="1" applyFill="1" applyBorder="1" applyAlignment="1">
      <alignment horizontal="right" vertical="top" wrapText="1"/>
    </xf>
    <xf numFmtId="2" fontId="5" fillId="4" borderId="12" xfId="0" applyNumberFormat="1" applyFont="1" applyFill="1" applyBorder="1" applyAlignment="1">
      <alignment horizontal="right" vertical="top" wrapText="1"/>
    </xf>
    <xf numFmtId="0" fontId="2" fillId="5" borderId="3" xfId="0" applyFont="1" applyFill="1" applyBorder="1" applyAlignment="1">
      <alignment horizontal="left" vertical="top" wrapText="1"/>
    </xf>
    <xf numFmtId="9" fontId="3" fillId="5" borderId="4" xfId="1" applyFont="1" applyFill="1" applyBorder="1" applyAlignment="1">
      <alignment horizontal="left" vertical="top" wrapText="1"/>
    </xf>
    <xf numFmtId="9" fontId="3" fillId="5" borderId="4" xfId="1" applyFont="1" applyFill="1" applyBorder="1" applyAlignment="1">
      <alignment horizontal="right" vertical="top" wrapText="1"/>
    </xf>
    <xf numFmtId="9" fontId="3" fillId="5" borderId="9" xfId="1" applyFont="1" applyFill="1" applyBorder="1" applyAlignment="1">
      <alignment horizontal="right" vertical="top" wrapText="1"/>
    </xf>
    <xf numFmtId="3" fontId="3" fillId="4" borderId="3" xfId="0" applyNumberFormat="1" applyFont="1" applyFill="1" applyBorder="1" applyAlignment="1">
      <alignment horizontal="right" vertical="top" wrapText="1"/>
    </xf>
    <xf numFmtId="3" fontId="3" fillId="4" borderId="8" xfId="0" applyNumberFormat="1" applyFont="1" applyFill="1" applyBorder="1" applyAlignment="1">
      <alignment horizontal="right" vertical="top" wrapText="1"/>
    </xf>
    <xf numFmtId="3" fontId="3" fillId="5" borderId="4" xfId="0" applyNumberFormat="1" applyFont="1" applyFill="1" applyBorder="1" applyAlignment="1">
      <alignment horizontal="right" vertical="top" wrapText="1"/>
    </xf>
    <xf numFmtId="3" fontId="3" fillId="5" borderId="9" xfId="0" applyNumberFormat="1" applyFont="1" applyFill="1" applyBorder="1" applyAlignment="1">
      <alignment horizontal="right" vertical="top" wrapText="1"/>
    </xf>
    <xf numFmtId="3" fontId="3" fillId="4" borderId="4" xfId="0" applyNumberFormat="1" applyFont="1" applyFill="1" applyBorder="1" applyAlignment="1">
      <alignment horizontal="right" vertical="top" wrapText="1"/>
    </xf>
    <xf numFmtId="3" fontId="3" fillId="4" borderId="9" xfId="0" applyNumberFormat="1" applyFont="1" applyFill="1" applyBorder="1" applyAlignment="1">
      <alignment horizontal="right" vertical="top" wrapText="1"/>
    </xf>
    <xf numFmtId="3" fontId="4" fillId="5" borderId="4" xfId="0" applyNumberFormat="1" applyFont="1" applyFill="1" applyBorder="1" applyAlignment="1">
      <alignment horizontal="right" vertical="top" wrapText="1"/>
    </xf>
    <xf numFmtId="3" fontId="4" fillId="5" borderId="9" xfId="0" applyNumberFormat="1" applyFont="1" applyFill="1" applyBorder="1" applyAlignment="1">
      <alignment horizontal="right" vertical="top" wrapText="1"/>
    </xf>
    <xf numFmtId="3" fontId="4" fillId="4" borderId="4" xfId="0" applyNumberFormat="1" applyFont="1" applyFill="1" applyBorder="1" applyAlignment="1">
      <alignment horizontal="right" vertical="top" wrapText="1"/>
    </xf>
    <xf numFmtId="3" fontId="4" fillId="4" borderId="9" xfId="0" applyNumberFormat="1" applyFont="1" applyFill="1" applyBorder="1" applyAlignment="1">
      <alignment horizontal="right" vertical="top" wrapText="1"/>
    </xf>
    <xf numFmtId="3" fontId="4" fillId="4" borderId="5" xfId="0" applyNumberFormat="1" applyFont="1" applyFill="1" applyBorder="1" applyAlignment="1">
      <alignment horizontal="right" vertical="top" wrapText="1"/>
    </xf>
    <xf numFmtId="3" fontId="4" fillId="4" borderId="10" xfId="0" applyNumberFormat="1" applyFont="1" applyFill="1" applyBorder="1" applyAlignment="1">
      <alignment horizontal="right" vertical="top" wrapText="1"/>
    </xf>
    <xf numFmtId="3" fontId="2" fillId="5" borderId="3" xfId="0" applyNumberFormat="1" applyFont="1" applyFill="1" applyBorder="1" applyAlignment="1">
      <alignment horizontal="right" vertical="top" wrapText="1"/>
    </xf>
    <xf numFmtId="3" fontId="2" fillId="5" borderId="8" xfId="0" applyNumberFormat="1" applyFont="1" applyFill="1" applyBorder="1" applyAlignment="1">
      <alignment horizontal="right" vertical="top" wrapText="1"/>
    </xf>
    <xf numFmtId="3" fontId="5" fillId="5" borderId="4" xfId="0" applyNumberFormat="1" applyFont="1" applyFill="1" applyBorder="1" applyAlignment="1">
      <alignment horizontal="right" vertical="top" wrapText="1"/>
    </xf>
    <xf numFmtId="3" fontId="5" fillId="5" borderId="9" xfId="0" applyNumberFormat="1" applyFont="1" applyFill="1" applyBorder="1" applyAlignment="1">
      <alignment horizontal="right" vertical="top" wrapText="1"/>
    </xf>
    <xf numFmtId="1" fontId="2" fillId="3" borderId="2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 wrapText="1"/>
    </xf>
    <xf numFmtId="2" fontId="3" fillId="4" borderId="9" xfId="0" applyNumberFormat="1" applyFont="1" applyFill="1" applyBorder="1" applyAlignment="1">
      <alignment vertical="top"/>
    </xf>
    <xf numFmtId="2" fontId="3" fillId="5" borderId="9" xfId="0" applyNumberFormat="1" applyFont="1" applyFill="1" applyBorder="1" applyAlignment="1">
      <alignment vertical="top"/>
    </xf>
    <xf numFmtId="2" fontId="5" fillId="4" borderId="12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2" fontId="8" fillId="5" borderId="4" xfId="0" applyNumberFormat="1" applyFont="1" applyFill="1" applyBorder="1" applyAlignment="1">
      <alignment horizontal="right" vertical="top" wrapText="1"/>
    </xf>
    <xf numFmtId="2" fontId="0" fillId="0" borderId="0" xfId="0" applyNumberFormat="1"/>
    <xf numFmtId="3" fontId="5" fillId="4" borderId="4" xfId="0" applyNumberFormat="1" applyFont="1" applyFill="1" applyBorder="1" applyAlignment="1">
      <alignment horizontal="right" vertical="top" wrapText="1"/>
    </xf>
    <xf numFmtId="3" fontId="5" fillId="4" borderId="9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3" fontId="4" fillId="4" borderId="3" xfId="0" applyNumberFormat="1" applyFont="1" applyFill="1" applyBorder="1" applyAlignment="1">
      <alignment horizontal="right" vertical="top" wrapText="1"/>
    </xf>
    <xf numFmtId="3" fontId="2" fillId="5" borderId="4" xfId="0" applyNumberFormat="1" applyFont="1" applyFill="1" applyBorder="1" applyAlignment="1">
      <alignment horizontal="right" vertical="top" wrapText="1"/>
    </xf>
    <xf numFmtId="3" fontId="4" fillId="4" borderId="6" xfId="0" applyNumberFormat="1" applyFont="1" applyFill="1" applyBorder="1" applyAlignment="1">
      <alignment horizontal="right" vertical="top" wrapText="1"/>
    </xf>
    <xf numFmtId="9" fontId="4" fillId="5" borderId="4" xfId="1" applyFont="1" applyFill="1" applyBorder="1" applyAlignment="1">
      <alignment horizontal="right" vertical="top" wrapText="1"/>
    </xf>
    <xf numFmtId="2" fontId="4" fillId="4" borderId="4" xfId="0" applyNumberFormat="1" applyFont="1" applyFill="1" applyBorder="1" applyAlignment="1">
      <alignment horizontal="right" vertical="top" wrapText="1"/>
    </xf>
    <xf numFmtId="2" fontId="4" fillId="5" borderId="4" xfId="0" applyNumberFormat="1" applyFont="1" applyFill="1" applyBorder="1" applyAlignment="1">
      <alignment horizontal="right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3" fontId="2" fillId="4" borderId="4" xfId="0" applyNumberFormat="1" applyFont="1" applyFill="1" applyBorder="1" applyAlignment="1">
      <alignment horizontal="right" vertical="top" wrapText="1"/>
    </xf>
    <xf numFmtId="2" fontId="2" fillId="4" borderId="7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3" borderId="2" xfId="0" applyNumberFormat="1" applyFont="1" applyFill="1" applyBorder="1" applyAlignment="1">
      <alignment horizontal="right" vertical="top" wrapText="1"/>
    </xf>
    <xf numFmtId="1" fontId="0" fillId="0" borderId="0" xfId="0" applyNumberFormat="1"/>
    <xf numFmtId="164" fontId="0" fillId="0" borderId="0" xfId="1" applyNumberFormat="1" applyFont="1"/>
    <xf numFmtId="0" fontId="2" fillId="2" borderId="0" xfId="0" applyFont="1" applyFill="1" applyBorder="1" applyAlignment="1">
      <alignment horizontal="center" vertical="center" wrapText="1"/>
    </xf>
    <xf numFmtId="2" fontId="5" fillId="4" borderId="0" xfId="0" applyNumberFormat="1" applyFont="1" applyFill="1" applyBorder="1" applyAlignment="1">
      <alignment horizontal="right" vertical="top" wrapText="1"/>
    </xf>
    <xf numFmtId="0" fontId="12" fillId="6" borderId="1" xfId="0" applyFont="1" applyFill="1" applyBorder="1"/>
    <xf numFmtId="0" fontId="0" fillId="6" borderId="1" xfId="0" applyFill="1" applyBorder="1"/>
    <xf numFmtId="2" fontId="2" fillId="3" borderId="3" xfId="0" applyNumberFormat="1" applyFont="1" applyFill="1" applyBorder="1" applyAlignment="1">
      <alignment horizontal="center" vertical="center" wrapText="1"/>
    </xf>
    <xf numFmtId="0" fontId="11" fillId="0" borderId="0" xfId="0" applyFont="1"/>
    <xf numFmtId="165" fontId="0" fillId="0" borderId="0" xfId="0" applyNumberFormat="1"/>
    <xf numFmtId="2" fontId="5" fillId="4" borderId="0" xfId="0" applyNumberFormat="1" applyFont="1" applyFill="1" applyBorder="1" applyAlignment="1">
      <alignment horizontal="left" vertical="top" wrapText="1"/>
    </xf>
    <xf numFmtId="2" fontId="5" fillId="4" borderId="0" xfId="0" applyNumberFormat="1" applyFont="1" applyFill="1" applyBorder="1" applyAlignment="1">
      <alignment vertical="top"/>
    </xf>
    <xf numFmtId="2" fontId="2" fillId="4" borderId="0" xfId="0" applyNumberFormat="1" applyFont="1" applyFill="1" applyBorder="1" applyAlignment="1">
      <alignment horizontal="right" vertical="top" wrapText="1"/>
    </xf>
    <xf numFmtId="2" fontId="7" fillId="4" borderId="0" xfId="0" applyNumberFormat="1" applyFont="1" applyFill="1" applyBorder="1" applyAlignment="1">
      <alignment horizontal="right" vertical="top" wrapText="1"/>
    </xf>
    <xf numFmtId="2" fontId="11" fillId="0" borderId="8" xfId="0" applyNumberFormat="1" applyFont="1" applyBorder="1"/>
    <xf numFmtId="2" fontId="8" fillId="5" borderId="9" xfId="0" applyNumberFormat="1" applyFont="1" applyFill="1" applyBorder="1" applyAlignment="1">
      <alignment horizontal="right" vertical="top" wrapText="1"/>
    </xf>
    <xf numFmtId="2" fontId="7" fillId="4" borderId="12" xfId="0" applyNumberFormat="1" applyFont="1" applyFill="1" applyBorder="1" applyAlignment="1">
      <alignment horizontal="right" vertical="top" wrapText="1"/>
    </xf>
    <xf numFmtId="2" fontId="13" fillId="4" borderId="0" xfId="0" applyNumberFormat="1" applyFont="1" applyFill="1" applyBorder="1" applyAlignment="1">
      <alignment horizontal="right" vertical="top" wrapText="1"/>
    </xf>
    <xf numFmtId="2" fontId="14" fillId="4" borderId="0" xfId="0" applyNumberFormat="1" applyFont="1" applyFill="1" applyBorder="1" applyAlignment="1">
      <alignment horizontal="right" vertical="top" wrapText="1"/>
    </xf>
    <xf numFmtId="2" fontId="14" fillId="4" borderId="0" xfId="0" applyNumberFormat="1" applyFont="1" applyFill="1" applyBorder="1" applyAlignment="1">
      <alignment horizontal="right" vertical="top"/>
    </xf>
    <xf numFmtId="165" fontId="14" fillId="4" borderId="0" xfId="0" applyNumberFormat="1" applyFont="1" applyFill="1" applyBorder="1" applyAlignment="1">
      <alignment horizontal="right" vertical="top" wrapText="1"/>
    </xf>
    <xf numFmtId="2" fontId="11" fillId="0" borderId="0" xfId="0" applyNumberFormat="1" applyFont="1"/>
    <xf numFmtId="164" fontId="9" fillId="0" borderId="0" xfId="1" applyNumberFormat="1" applyFont="1"/>
    <xf numFmtId="0" fontId="9" fillId="6" borderId="1" xfId="0" applyFont="1" applyFill="1" applyBorder="1"/>
    <xf numFmtId="2" fontId="15" fillId="4" borderId="0" xfId="0" applyNumberFormat="1" applyFont="1" applyFill="1" applyBorder="1" applyAlignment="1">
      <alignment horizontal="right" vertical="top" wrapText="1"/>
    </xf>
    <xf numFmtId="2" fontId="9" fillId="0" borderId="0" xfId="0" applyNumberFormat="1" applyFont="1"/>
    <xf numFmtId="3" fontId="9" fillId="0" borderId="0" xfId="0" applyNumberFormat="1" applyFont="1"/>
  </cellXfs>
  <cellStyles count="3">
    <cellStyle name="Normaali" xfId="0" builtinId="0"/>
    <cellStyle name="Normaali 2" xfId="2" xr:uid="{D580A9D8-06CD-4320-88E3-2F743F987A65}"/>
    <cellStyle name="Prosentti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'Taul1 (2)'!$C$48</c:f>
              <c:strCache>
                <c:ptCount val="1"/>
                <c:pt idx="0">
                  <c:v>Bruttohinta vyörytyksillä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'Taul1 (2)'!$D$46:$I$46</c:f>
              <c:strCache>
                <c:ptCount val="6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</c:strCache>
            </c:strRef>
          </c:cat>
          <c:val>
            <c:numRef>
              <c:f>'Taul1 (2)'!$D$48:$I$48</c:f>
              <c:numCache>
                <c:formatCode>General</c:formatCode>
                <c:ptCount val="6"/>
                <c:pt idx="0">
                  <c:v>180.20911010186009</c:v>
                </c:pt>
                <c:pt idx="1">
                  <c:v>138.15640121469718</c:v>
                </c:pt>
                <c:pt idx="2">
                  <c:v>154.00828044713367</c:v>
                </c:pt>
                <c:pt idx="3">
                  <c:v>149.18997458587828</c:v>
                </c:pt>
                <c:pt idx="4">
                  <c:v>139.93961358602257</c:v>
                </c:pt>
                <c:pt idx="5">
                  <c:v>158.54560447830107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1-4940-A62C-9A5C430F7B5F}"/>
            </c:ext>
          </c:extLst>
        </c:ser>
        <c:ser>
          <c:idx val="2"/>
          <c:order val="2"/>
          <c:tx>
            <c:strRef>
              <c:f>'Taul1 (2)'!$C$49</c:f>
              <c:strCache>
                <c:ptCount val="1"/>
                <c:pt idx="0">
                  <c:v>Ostopalvelun kustannus kunnalle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'Taul1 (2)'!$D$46:$I$46</c:f>
              <c:strCache>
                <c:ptCount val="6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</c:strCache>
            </c:strRef>
          </c:cat>
          <c:val>
            <c:numRef>
              <c:f>'Taul1 (2)'!$D$49:$I$49</c:f>
              <c:numCache>
                <c:formatCode>General</c:formatCode>
                <c:ptCount val="6"/>
                <c:pt idx="0">
                  <c:v>125.4285</c:v>
                </c:pt>
                <c:pt idx="1">
                  <c:v>114</c:v>
                </c:pt>
                <c:pt idx="2">
                  <c:v>132.98099999999999</c:v>
                </c:pt>
                <c:pt idx="3">
                  <c:v>109.25</c:v>
                </c:pt>
                <c:pt idx="4">
                  <c:v>114</c:v>
                </c:pt>
                <c:pt idx="5">
                  <c:v>121.999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71-4940-A62C-9A5C430F7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538655"/>
        <c:axId val="13750141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'Taul1 (2)'!$C$47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'Taul1 (2)'!$D$46:$I$46</c15:sqref>
                        </c15:formulaRef>
                      </c:ext>
                    </c:extLst>
                    <c:strCache>
                      <c:ptCount val="6"/>
                      <c:pt idx="0">
                        <c:v>Espoo</c:v>
                      </c:pt>
                      <c:pt idx="1">
                        <c:v>PHHYKY</c:v>
                      </c:pt>
                      <c:pt idx="2">
                        <c:v>Kymsote</c:v>
                      </c:pt>
                      <c:pt idx="3">
                        <c:v>Siunsote</c:v>
                      </c:pt>
                      <c:pt idx="4">
                        <c:v>Jyväskylä</c:v>
                      </c:pt>
                      <c:pt idx="5">
                        <c:v>Tampere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'Taul1 (2)'!$D$47:$I$47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4971-4940-A62C-9A5C430F7B5F}"/>
                  </c:ext>
                </c:extLst>
              </c15:ser>
            </c15:filteredBarSeries>
          </c:ext>
        </c:extLst>
      </c:barChart>
      <c:catAx>
        <c:axId val="42953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375014111"/>
        <c:crosses val="autoZero"/>
        <c:auto val="1"/>
        <c:lblAlgn val="ctr"/>
        <c:lblOffset val="100"/>
        <c:noMultiLvlLbl val="0"/>
      </c:catAx>
      <c:valAx>
        <c:axId val="137501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29538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'Taul1 (2)'!$C$52</c:f>
              <c:strCache>
                <c:ptCount val="1"/>
                <c:pt idx="0">
                  <c:v>Bruttohinta vyörytyksillä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'Taul1 (2)'!$D$51:$O$51</c:f>
              <c:strCache>
                <c:ptCount val="12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Kuopio</c:v>
                </c:pt>
                <c:pt idx="10">
                  <c:v>Seinäjoki</c:v>
                </c:pt>
                <c:pt idx="11">
                  <c:v>Oulu</c:v>
                </c:pt>
              </c:strCache>
            </c:strRef>
          </c:cat>
          <c:val>
            <c:numRef>
              <c:f>'Taul1 (2)'!$D$52:$O$52</c:f>
              <c:numCache>
                <c:formatCode>General</c:formatCode>
                <c:ptCount val="12"/>
                <c:pt idx="0">
                  <c:v>180.20911010186009</c:v>
                </c:pt>
                <c:pt idx="1">
                  <c:v>138.15640121469718</c:v>
                </c:pt>
                <c:pt idx="2">
                  <c:v>154.00828044713367</c:v>
                </c:pt>
                <c:pt idx="3">
                  <c:v>149.18997458587828</c:v>
                </c:pt>
                <c:pt idx="4">
                  <c:v>138.46656502195916</c:v>
                </c:pt>
                <c:pt idx="5">
                  <c:v>158.54560447830107</c:v>
                </c:pt>
                <c:pt idx="6">
                  <c:v>163.42091438170345</c:v>
                </c:pt>
                <c:pt idx="7">
                  <c:v>138.94408270659372</c:v>
                </c:pt>
                <c:pt idx="8">
                  <c:v>144.97916749469567</c:v>
                </c:pt>
                <c:pt idx="9">
                  <c:v>175.83590683569409</c:v>
                </c:pt>
                <c:pt idx="10">
                  <c:v>140.5844486941121</c:v>
                </c:pt>
                <c:pt idx="11" formatCode="0.00">
                  <c:v>132.43072029928541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0A-4ADA-8B88-FCD19AC1C891}"/>
            </c:ext>
          </c:extLst>
        </c:ser>
        <c:ser>
          <c:idx val="1"/>
          <c:order val="1"/>
          <c:tx>
            <c:strRef>
              <c:f>'Taul1 (2)'!$C$53</c:f>
              <c:strCache>
                <c:ptCount val="1"/>
                <c:pt idx="0">
                  <c:v>Ostopalvelun kustannus kunnalle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'Taul1 (2)'!$D$51:$O$51</c:f>
              <c:strCache>
                <c:ptCount val="12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Kuopio</c:v>
                </c:pt>
                <c:pt idx="10">
                  <c:v>Seinäjoki</c:v>
                </c:pt>
                <c:pt idx="11">
                  <c:v>Oulu</c:v>
                </c:pt>
              </c:strCache>
            </c:strRef>
          </c:cat>
          <c:val>
            <c:numRef>
              <c:f>'Taul1 (2)'!$D$53:$O$53</c:f>
              <c:numCache>
                <c:formatCode>General</c:formatCode>
                <c:ptCount val="12"/>
                <c:pt idx="0">
                  <c:v>125.4285</c:v>
                </c:pt>
                <c:pt idx="1">
                  <c:v>114</c:v>
                </c:pt>
                <c:pt idx="2">
                  <c:v>132.98099999999999</c:v>
                </c:pt>
                <c:pt idx="3">
                  <c:v>109.25</c:v>
                </c:pt>
                <c:pt idx="4">
                  <c:v>114</c:v>
                </c:pt>
                <c:pt idx="5">
                  <c:v>121.999</c:v>
                </c:pt>
                <c:pt idx="6">
                  <c:v>111.625</c:v>
                </c:pt>
                <c:pt idx="7">
                  <c:v>109.25</c:v>
                </c:pt>
                <c:pt idx="8">
                  <c:v>121.6</c:v>
                </c:pt>
                <c:pt idx="9">
                  <c:v>120.65</c:v>
                </c:pt>
                <c:pt idx="10">
                  <c:v>117.8</c:v>
                </c:pt>
                <c:pt idx="11">
                  <c:v>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0A-4ADA-8B88-FCD19AC1C8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2944127"/>
        <c:axId val="982936639"/>
      </c:barChart>
      <c:catAx>
        <c:axId val="982944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982936639"/>
        <c:crosses val="autoZero"/>
        <c:auto val="1"/>
        <c:lblAlgn val="ctr"/>
        <c:lblOffset val="100"/>
        <c:noMultiLvlLbl val="0"/>
      </c:catAx>
      <c:valAx>
        <c:axId val="98293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982944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904417043712103E-2"/>
          <c:y val="4.028535991955616E-2"/>
          <c:w val="0.90193482184694751"/>
          <c:h val="0.815595351006023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'Taul1 (2)'!$T$66</c:f>
              <c:strCache>
                <c:ptCount val="1"/>
                <c:pt idx="0">
                  <c:v>Kunnan toimintamenot bruttona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'Taul1 (2)'!$U$65:$AE$65</c:f>
              <c:strCache>
                <c:ptCount val="11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Turku</c:v>
                </c:pt>
                <c:pt idx="10">
                  <c:v>Rovaniemi</c:v>
                </c:pt>
              </c:strCache>
            </c:strRef>
          </c:cat>
          <c:val>
            <c:numRef>
              <c:f>'Taul1 (2)'!$U$66:$AE$66</c:f>
              <c:numCache>
                <c:formatCode>0.00</c:formatCode>
                <c:ptCount val="11"/>
                <c:pt idx="0">
                  <c:v>180.20911010186009</c:v>
                </c:pt>
                <c:pt idx="1">
                  <c:v>138.15640121469718</c:v>
                </c:pt>
                <c:pt idx="2">
                  <c:v>156.9694830495246</c:v>
                </c:pt>
                <c:pt idx="3">
                  <c:v>156.72940030000075</c:v>
                </c:pt>
                <c:pt idx="4">
                  <c:v>138.46656502195916</c:v>
                </c:pt>
                <c:pt idx="5">
                  <c:v>158.54560447830107</c:v>
                </c:pt>
                <c:pt idx="6">
                  <c:v>163.42091438170345</c:v>
                </c:pt>
                <c:pt idx="7">
                  <c:v>138.94408270659372</c:v>
                </c:pt>
                <c:pt idx="8">
                  <c:v>144.97916749469567</c:v>
                </c:pt>
                <c:pt idx="9">
                  <c:v>147.49500387292198</c:v>
                </c:pt>
                <c:pt idx="10">
                  <c:v>168.63693733240703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24-496E-9A12-76BE0A4E25A2}"/>
            </c:ext>
          </c:extLst>
        </c:ser>
        <c:ser>
          <c:idx val="1"/>
          <c:order val="1"/>
          <c:tx>
            <c:strRef>
              <c:f>'Taul1 (2)'!$T$67</c:f>
              <c:strCache>
                <c:ptCount val="1"/>
                <c:pt idx="0">
                  <c:v>Ostopalvelun kustannus kunnalle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'Taul1 (2)'!$U$65:$AE$65</c:f>
              <c:strCache>
                <c:ptCount val="11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Turku</c:v>
                </c:pt>
                <c:pt idx="10">
                  <c:v>Rovaniemi</c:v>
                </c:pt>
              </c:strCache>
            </c:strRef>
          </c:cat>
          <c:val>
            <c:numRef>
              <c:f>'Taul1 (2)'!$U$67:$AE$67</c:f>
              <c:numCache>
                <c:formatCode>0.00</c:formatCode>
                <c:ptCount val="11"/>
                <c:pt idx="0">
                  <c:v>125.4285</c:v>
                </c:pt>
                <c:pt idx="1">
                  <c:v>114</c:v>
                </c:pt>
                <c:pt idx="2">
                  <c:v>132.98099999999999</c:v>
                </c:pt>
                <c:pt idx="3">
                  <c:v>109.9435</c:v>
                </c:pt>
                <c:pt idx="4">
                  <c:v>114</c:v>
                </c:pt>
                <c:pt idx="5">
                  <c:v>121.999</c:v>
                </c:pt>
                <c:pt idx="6">
                  <c:v>111.625</c:v>
                </c:pt>
                <c:pt idx="7">
                  <c:v>109.25</c:v>
                </c:pt>
                <c:pt idx="8">
                  <c:v>121.6</c:v>
                </c:pt>
                <c:pt idx="9">
                  <c:v>118.82599999999999</c:v>
                </c:pt>
                <c:pt idx="10">
                  <c:v>115.4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24-496E-9A12-76BE0A4E2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108287"/>
        <c:axId val="1601096223"/>
      </c:barChart>
      <c:catAx>
        <c:axId val="1601108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01096223"/>
        <c:crosses val="autoZero"/>
        <c:auto val="1"/>
        <c:lblAlgn val="ctr"/>
        <c:lblOffset val="100"/>
        <c:noMultiLvlLbl val="0"/>
      </c:catAx>
      <c:valAx>
        <c:axId val="160109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01108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Taul1!$C$48</c:f>
              <c:strCache>
                <c:ptCount val="1"/>
                <c:pt idx="0">
                  <c:v>Bruttohinta vyörytyksillä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Taul1!$D$46:$I$46</c:f>
              <c:strCache>
                <c:ptCount val="6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</c:strCache>
            </c:strRef>
          </c:cat>
          <c:val>
            <c:numRef>
              <c:f>Taul1!$D$48:$I$48</c:f>
              <c:numCache>
                <c:formatCode>General</c:formatCode>
                <c:ptCount val="6"/>
                <c:pt idx="0">
                  <c:v>180.20911010186009</c:v>
                </c:pt>
                <c:pt idx="1">
                  <c:v>138.15640121469718</c:v>
                </c:pt>
                <c:pt idx="2">
                  <c:v>154.00828044713367</c:v>
                </c:pt>
                <c:pt idx="3">
                  <c:v>149.18997458587828</c:v>
                </c:pt>
                <c:pt idx="4">
                  <c:v>139.93961358602257</c:v>
                </c:pt>
                <c:pt idx="5">
                  <c:v>158.54560447830107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7-46E0-841F-1FF7E7B536F6}"/>
            </c:ext>
          </c:extLst>
        </c:ser>
        <c:ser>
          <c:idx val="2"/>
          <c:order val="2"/>
          <c:tx>
            <c:strRef>
              <c:f>Taul1!$C$49</c:f>
              <c:strCache>
                <c:ptCount val="1"/>
                <c:pt idx="0">
                  <c:v>Ostopalvelun kustannus kunnalle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Taul1!$D$46:$I$46</c:f>
              <c:strCache>
                <c:ptCount val="6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</c:strCache>
            </c:strRef>
          </c:cat>
          <c:val>
            <c:numRef>
              <c:f>Taul1!$D$49:$I$49</c:f>
              <c:numCache>
                <c:formatCode>General</c:formatCode>
                <c:ptCount val="6"/>
                <c:pt idx="0">
                  <c:v>125.4285</c:v>
                </c:pt>
                <c:pt idx="1">
                  <c:v>114</c:v>
                </c:pt>
                <c:pt idx="2">
                  <c:v>132.98099999999999</c:v>
                </c:pt>
                <c:pt idx="3">
                  <c:v>109.25</c:v>
                </c:pt>
                <c:pt idx="4">
                  <c:v>114</c:v>
                </c:pt>
                <c:pt idx="5">
                  <c:v>121.999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27-46E0-841F-1FF7E7B53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538655"/>
        <c:axId val="137501411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Taul1!$C$47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Taul1!$D$46:$I$46</c15:sqref>
                        </c15:formulaRef>
                      </c:ext>
                    </c:extLst>
                    <c:strCache>
                      <c:ptCount val="6"/>
                      <c:pt idx="0">
                        <c:v>Espoo</c:v>
                      </c:pt>
                      <c:pt idx="1">
                        <c:v>PHHYKY</c:v>
                      </c:pt>
                      <c:pt idx="2">
                        <c:v>Kymsote</c:v>
                      </c:pt>
                      <c:pt idx="3">
                        <c:v>Siunsote</c:v>
                      </c:pt>
                      <c:pt idx="4">
                        <c:v>Jyväskylä</c:v>
                      </c:pt>
                      <c:pt idx="5">
                        <c:v>Tampere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Taul1!$D$47:$I$47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927-46E0-841F-1FF7E7B536F6}"/>
                  </c:ext>
                </c:extLst>
              </c15:ser>
            </c15:filteredBarSeries>
          </c:ext>
        </c:extLst>
      </c:barChart>
      <c:catAx>
        <c:axId val="429538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375014111"/>
        <c:crosses val="autoZero"/>
        <c:auto val="1"/>
        <c:lblAlgn val="ctr"/>
        <c:lblOffset val="100"/>
        <c:noMultiLvlLbl val="0"/>
      </c:catAx>
      <c:valAx>
        <c:axId val="137501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4295386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Taul1!$C$52</c:f>
              <c:strCache>
                <c:ptCount val="1"/>
                <c:pt idx="0">
                  <c:v>Bruttohinta vyörytyksillä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Taul1!$D$51:$O$51</c:f>
              <c:strCache>
                <c:ptCount val="12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Kuopio</c:v>
                </c:pt>
                <c:pt idx="10">
                  <c:v>Seinäjoki</c:v>
                </c:pt>
                <c:pt idx="11">
                  <c:v>Oulu</c:v>
                </c:pt>
              </c:strCache>
            </c:strRef>
          </c:cat>
          <c:val>
            <c:numRef>
              <c:f>Taul1!$D$52:$O$52</c:f>
              <c:numCache>
                <c:formatCode>General</c:formatCode>
                <c:ptCount val="12"/>
                <c:pt idx="0">
                  <c:v>180.20911010186009</c:v>
                </c:pt>
                <c:pt idx="1">
                  <c:v>138.15640121469718</c:v>
                </c:pt>
                <c:pt idx="2">
                  <c:v>154.00828044713367</c:v>
                </c:pt>
                <c:pt idx="3">
                  <c:v>149.18997458587828</c:v>
                </c:pt>
                <c:pt idx="4">
                  <c:v>138.46656502195916</c:v>
                </c:pt>
                <c:pt idx="5">
                  <c:v>158.54560447830107</c:v>
                </c:pt>
                <c:pt idx="6">
                  <c:v>163.42091438170345</c:v>
                </c:pt>
                <c:pt idx="7">
                  <c:v>138.94408270659372</c:v>
                </c:pt>
                <c:pt idx="8">
                  <c:v>144.97916749469567</c:v>
                </c:pt>
                <c:pt idx="9">
                  <c:v>175.83590683569409</c:v>
                </c:pt>
                <c:pt idx="10">
                  <c:v>140.5844486941121</c:v>
                </c:pt>
                <c:pt idx="11" formatCode="0.00">
                  <c:v>132.43072029928541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0F-48F4-A816-528713BBDB8E}"/>
            </c:ext>
          </c:extLst>
        </c:ser>
        <c:ser>
          <c:idx val="1"/>
          <c:order val="1"/>
          <c:tx>
            <c:strRef>
              <c:f>Taul1!$C$53</c:f>
              <c:strCache>
                <c:ptCount val="1"/>
                <c:pt idx="0">
                  <c:v>Ostopalvelun kustannus kunnalle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Taul1!$D$51:$O$51</c:f>
              <c:strCache>
                <c:ptCount val="12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Kuopio</c:v>
                </c:pt>
                <c:pt idx="10">
                  <c:v>Seinäjoki</c:v>
                </c:pt>
                <c:pt idx="11">
                  <c:v>Oulu</c:v>
                </c:pt>
              </c:strCache>
            </c:strRef>
          </c:cat>
          <c:val>
            <c:numRef>
              <c:f>Taul1!$D$53:$O$53</c:f>
              <c:numCache>
                <c:formatCode>General</c:formatCode>
                <c:ptCount val="12"/>
                <c:pt idx="0">
                  <c:v>125.4285</c:v>
                </c:pt>
                <c:pt idx="1">
                  <c:v>114</c:v>
                </c:pt>
                <c:pt idx="2">
                  <c:v>132.98099999999999</c:v>
                </c:pt>
                <c:pt idx="3">
                  <c:v>109.25</c:v>
                </c:pt>
                <c:pt idx="4">
                  <c:v>114</c:v>
                </c:pt>
                <c:pt idx="5">
                  <c:v>121.999</c:v>
                </c:pt>
                <c:pt idx="6">
                  <c:v>111.625</c:v>
                </c:pt>
                <c:pt idx="7">
                  <c:v>109.25</c:v>
                </c:pt>
                <c:pt idx="8">
                  <c:v>121.6</c:v>
                </c:pt>
                <c:pt idx="9">
                  <c:v>120.65</c:v>
                </c:pt>
                <c:pt idx="10">
                  <c:v>117.8</c:v>
                </c:pt>
                <c:pt idx="11">
                  <c:v>87.4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0F-48F4-A816-528713BBD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2944127"/>
        <c:axId val="982936639"/>
      </c:barChart>
      <c:catAx>
        <c:axId val="982944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982936639"/>
        <c:crosses val="autoZero"/>
        <c:auto val="1"/>
        <c:lblAlgn val="ctr"/>
        <c:lblOffset val="100"/>
        <c:noMultiLvlLbl val="0"/>
      </c:catAx>
      <c:valAx>
        <c:axId val="98293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982944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904417043712103E-2"/>
          <c:y val="4.028535991955616E-2"/>
          <c:w val="0.90193482184694751"/>
          <c:h val="0.815595351006023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Taul1!$T$66</c:f>
              <c:strCache>
                <c:ptCount val="1"/>
                <c:pt idx="0">
                  <c:v>Kunnan toimintamenot bruttona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Taul1!$U$65:$AG$65</c:f>
              <c:strCache>
                <c:ptCount val="13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Kuopio*</c:v>
                </c:pt>
                <c:pt idx="10">
                  <c:v>Seinäjoki*</c:v>
                </c:pt>
                <c:pt idx="11">
                  <c:v>Turku</c:v>
                </c:pt>
                <c:pt idx="12">
                  <c:v>Rovaniemi</c:v>
                </c:pt>
              </c:strCache>
            </c:strRef>
          </c:cat>
          <c:val>
            <c:numRef>
              <c:f>Taul1!$U$66:$AG$66</c:f>
              <c:numCache>
                <c:formatCode>0.00</c:formatCode>
                <c:ptCount val="13"/>
                <c:pt idx="0">
                  <c:v>180.20911010186009</c:v>
                </c:pt>
                <c:pt idx="1">
                  <c:v>138.15640121469718</c:v>
                </c:pt>
                <c:pt idx="2">
                  <c:v>156.9694830495246</c:v>
                </c:pt>
                <c:pt idx="3">
                  <c:v>156.72940030000075</c:v>
                </c:pt>
                <c:pt idx="4">
                  <c:v>138.46656502195916</c:v>
                </c:pt>
                <c:pt idx="5">
                  <c:v>158.54560447830107</c:v>
                </c:pt>
                <c:pt idx="6">
                  <c:v>163.42091438170345</c:v>
                </c:pt>
                <c:pt idx="7">
                  <c:v>138.94408270659372</c:v>
                </c:pt>
                <c:pt idx="8">
                  <c:v>144.97916749469567</c:v>
                </c:pt>
                <c:pt idx="9">
                  <c:v>175.83590683569409</c:v>
                </c:pt>
                <c:pt idx="10">
                  <c:v>140.5844486941121</c:v>
                </c:pt>
                <c:pt idx="11">
                  <c:v>147.49500387292198</c:v>
                </c:pt>
                <c:pt idx="12">
                  <c:v>168.63693733240703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FE-4A92-A4FF-7C05C6CB159A}"/>
            </c:ext>
          </c:extLst>
        </c:ser>
        <c:ser>
          <c:idx val="1"/>
          <c:order val="1"/>
          <c:tx>
            <c:strRef>
              <c:f>Taul1!$T$67</c:f>
              <c:strCache>
                <c:ptCount val="1"/>
                <c:pt idx="0">
                  <c:v>Ostopalvelun kustannus kunnalle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Taul1!$U$65:$AG$65</c:f>
              <c:strCache>
                <c:ptCount val="13"/>
                <c:pt idx="0">
                  <c:v>Espoo</c:v>
                </c:pt>
                <c:pt idx="1">
                  <c:v>PHHYKY</c:v>
                </c:pt>
                <c:pt idx="2">
                  <c:v>Kymsote</c:v>
                </c:pt>
                <c:pt idx="3">
                  <c:v>Siunsote</c:v>
                </c:pt>
                <c:pt idx="4">
                  <c:v>Jyväskylä</c:v>
                </c:pt>
                <c:pt idx="5">
                  <c:v>Tampere</c:v>
                </c:pt>
                <c:pt idx="6">
                  <c:v>Nokia</c:v>
                </c:pt>
                <c:pt idx="7">
                  <c:v>Pori</c:v>
                </c:pt>
                <c:pt idx="8">
                  <c:v>Salo</c:v>
                </c:pt>
                <c:pt idx="9">
                  <c:v>Kuopio*</c:v>
                </c:pt>
                <c:pt idx="10">
                  <c:v>Seinäjoki*</c:v>
                </c:pt>
                <c:pt idx="11">
                  <c:v>Turku</c:v>
                </c:pt>
                <c:pt idx="12">
                  <c:v>Rovaniemi</c:v>
                </c:pt>
              </c:strCache>
            </c:strRef>
          </c:cat>
          <c:val>
            <c:numRef>
              <c:f>Taul1!$U$67:$AG$67</c:f>
              <c:numCache>
                <c:formatCode>0.00</c:formatCode>
                <c:ptCount val="13"/>
                <c:pt idx="0">
                  <c:v>125.4285</c:v>
                </c:pt>
                <c:pt idx="1">
                  <c:v>114</c:v>
                </c:pt>
                <c:pt idx="2">
                  <c:v>132.98099999999999</c:v>
                </c:pt>
                <c:pt idx="3">
                  <c:v>109.9435</c:v>
                </c:pt>
                <c:pt idx="4">
                  <c:v>114</c:v>
                </c:pt>
                <c:pt idx="5">
                  <c:v>121.999</c:v>
                </c:pt>
                <c:pt idx="6">
                  <c:v>111.625</c:v>
                </c:pt>
                <c:pt idx="7">
                  <c:v>109.25</c:v>
                </c:pt>
                <c:pt idx="8">
                  <c:v>121.6</c:v>
                </c:pt>
                <c:pt idx="9">
                  <c:v>120.65</c:v>
                </c:pt>
                <c:pt idx="10">
                  <c:v>117.8</c:v>
                </c:pt>
                <c:pt idx="11">
                  <c:v>118.82599999999999</c:v>
                </c:pt>
                <c:pt idx="12">
                  <c:v>115.4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FE-4A92-A4FF-7C05C6CB1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108287"/>
        <c:axId val="1601096223"/>
      </c:barChart>
      <c:catAx>
        <c:axId val="1601108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01096223"/>
        <c:crosses val="autoZero"/>
        <c:auto val="1"/>
        <c:lblAlgn val="ctr"/>
        <c:lblOffset val="100"/>
        <c:noMultiLvlLbl val="0"/>
      </c:catAx>
      <c:valAx>
        <c:axId val="160109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1601108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4761</xdr:colOff>
      <xdr:row>66</xdr:row>
      <xdr:rowOff>104774</xdr:rowOff>
    </xdr:from>
    <xdr:to>
      <xdr:col>12</xdr:col>
      <xdr:colOff>161924</xdr:colOff>
      <xdr:row>85</xdr:row>
      <xdr:rowOff>161924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53736D49-BFA6-4016-B172-4A9FC1F493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</xdr:colOff>
      <xdr:row>59</xdr:row>
      <xdr:rowOff>97971</xdr:rowOff>
    </xdr:from>
    <xdr:to>
      <xdr:col>5</xdr:col>
      <xdr:colOff>81643</xdr:colOff>
      <xdr:row>76</xdr:row>
      <xdr:rowOff>102053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73174FF5-E539-4256-B908-06E11B0165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297655</xdr:colOff>
      <xdr:row>72</xdr:row>
      <xdr:rowOff>114300</xdr:rowOff>
    </xdr:from>
    <xdr:to>
      <xdr:col>30</xdr:col>
      <xdr:colOff>685800</xdr:colOff>
      <xdr:row>95</xdr:row>
      <xdr:rowOff>46037</xdr:rowOff>
    </xdr:to>
    <xdr:graphicFrame macro="">
      <xdr:nvGraphicFramePr>
        <xdr:cNvPr id="4" name="Kaavio 3">
          <a:extLst>
            <a:ext uri="{FF2B5EF4-FFF2-40B4-BE49-F238E27FC236}">
              <a16:creationId xmlns:a16="http://schemas.microsoft.com/office/drawing/2014/main" id="{508A5373-F939-48E4-8521-F8B6BD4A0A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4761</xdr:colOff>
      <xdr:row>66</xdr:row>
      <xdr:rowOff>104774</xdr:rowOff>
    </xdr:from>
    <xdr:to>
      <xdr:col>12</xdr:col>
      <xdr:colOff>161924</xdr:colOff>
      <xdr:row>85</xdr:row>
      <xdr:rowOff>161924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1FD822AF-A30C-486C-8EC9-051DDC5308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</xdr:colOff>
      <xdr:row>59</xdr:row>
      <xdr:rowOff>97971</xdr:rowOff>
    </xdr:from>
    <xdr:to>
      <xdr:col>5</xdr:col>
      <xdr:colOff>81643</xdr:colOff>
      <xdr:row>76</xdr:row>
      <xdr:rowOff>102053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9AC8FF13-1BB6-440B-9DBE-16895D2483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297655</xdr:colOff>
      <xdr:row>72</xdr:row>
      <xdr:rowOff>114300</xdr:rowOff>
    </xdr:from>
    <xdr:to>
      <xdr:col>31</xdr:col>
      <xdr:colOff>161925</xdr:colOff>
      <xdr:row>95</xdr:row>
      <xdr:rowOff>46037</xdr:rowOff>
    </xdr:to>
    <xdr:graphicFrame macro="">
      <xdr:nvGraphicFramePr>
        <xdr:cNvPr id="6" name="Kaavio 5">
          <a:extLst>
            <a:ext uri="{FF2B5EF4-FFF2-40B4-BE49-F238E27FC236}">
              <a16:creationId xmlns:a16="http://schemas.microsoft.com/office/drawing/2014/main" id="{29EBF17D-86DF-44F7-871F-48BA792ACF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hali_teema">
  <a:themeElements>
    <a:clrScheme name="HALI">
      <a:dk1>
        <a:sysClr val="windowText" lastClr="000000"/>
      </a:dk1>
      <a:lt1>
        <a:sysClr val="window" lastClr="FFFFFF"/>
      </a:lt1>
      <a:dk2>
        <a:srgbClr val="19ABB5"/>
      </a:dk2>
      <a:lt2>
        <a:srgbClr val="FAA61A"/>
      </a:lt2>
      <a:accent1>
        <a:srgbClr val="19ABB5"/>
      </a:accent1>
      <a:accent2>
        <a:srgbClr val="F2BE19"/>
      </a:accent2>
      <a:accent3>
        <a:srgbClr val="CCCCCC"/>
      </a:accent3>
      <a:accent4>
        <a:srgbClr val="45BDC7"/>
      </a:accent4>
      <a:accent5>
        <a:srgbClr val="FAA61A"/>
      </a:accent5>
      <a:accent6>
        <a:srgbClr val="7F7F7F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spAutoFit/>
      </a:bodyPr>
      <a:lstStyle>
        <a:defPPr algn="l">
          <a:defRPr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hali_teema" id="{FB97EA70-ADE7-481C-BB18-DD22768D1926}" vid="{A6855574-4A99-4328-B837-2E7747501CF8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11513-64CA-49DD-9573-68D1CF2CD174}">
  <dimension ref="C2:AJ72"/>
  <sheetViews>
    <sheetView showGridLines="0" tabSelected="1" topLeftCell="U55" zoomScaleNormal="100" workbookViewId="0">
      <selection activeCell="AE68" sqref="AE68"/>
    </sheetView>
  </sheetViews>
  <sheetFormatPr defaultRowHeight="14.25" x14ac:dyDescent="0.2"/>
  <cols>
    <col min="3" max="3" width="55.625" customWidth="1"/>
    <col min="4" max="4" width="11.875" customWidth="1"/>
    <col min="5" max="6" width="10.25" customWidth="1"/>
    <col min="7" max="7" width="10.25" style="74" customWidth="1"/>
    <col min="8" max="15" width="10.25" customWidth="1"/>
    <col min="16" max="16" width="10.625" customWidth="1"/>
    <col min="17" max="19" width="9" customWidth="1"/>
    <col min="20" max="20" width="35.75" customWidth="1"/>
    <col min="21" max="23" width="10.375" customWidth="1"/>
    <col min="24" max="24" width="10.375" style="74" customWidth="1"/>
    <col min="25" max="31" width="10.375" customWidth="1"/>
    <col min="32" max="32" width="12.375" customWidth="1"/>
    <col min="33" max="33" width="9.875" bestFit="1" customWidth="1"/>
    <col min="35" max="35" width="12" bestFit="1" customWidth="1"/>
  </cols>
  <sheetData>
    <row r="2" spans="3:33" x14ac:dyDescent="0.2">
      <c r="U2" s="77">
        <f>(U33/U36)-1</f>
        <v>0.43674770966614518</v>
      </c>
      <c r="V2" s="77">
        <f>(V33/V36)-1</f>
        <v>0.2118982562692735</v>
      </c>
      <c r="W2" s="77">
        <f t="shared" ref="W2:AF2" si="0">(W33/W36)-1</f>
        <v>0.18039030425041624</v>
      </c>
      <c r="X2" s="97">
        <f t="shared" si="0"/>
        <v>0.42554494172007207</v>
      </c>
      <c r="Y2" s="77">
        <f t="shared" si="0"/>
        <v>0.2146189914206944</v>
      </c>
      <c r="Z2" s="77">
        <f t="shared" si="0"/>
        <v>0.29956478723842883</v>
      </c>
      <c r="AA2" s="77">
        <f t="shared" si="0"/>
        <v>0.46401715011604439</v>
      </c>
      <c r="AB2" s="77">
        <f t="shared" si="0"/>
        <v>0.27179938404204784</v>
      </c>
      <c r="AC2" s="77">
        <f t="shared" si="0"/>
        <v>0.19226289058137902</v>
      </c>
      <c r="AD2" s="77">
        <f t="shared" si="0"/>
        <v>0.2412687784905827</v>
      </c>
      <c r="AE2" s="77">
        <f t="shared" si="0"/>
        <v>0.46132528017683727</v>
      </c>
      <c r="AF2" s="77">
        <f t="shared" si="0"/>
        <v>0.27928901288423313</v>
      </c>
    </row>
    <row r="3" spans="3:33" ht="15" x14ac:dyDescent="0.25">
      <c r="T3" s="80" t="s">
        <v>49</v>
      </c>
      <c r="U3" s="81">
        <v>5</v>
      </c>
      <c r="V3" s="81">
        <v>15</v>
      </c>
      <c r="W3" s="81">
        <v>15</v>
      </c>
      <c r="X3" s="98">
        <v>20</v>
      </c>
      <c r="Y3" s="81">
        <v>10</v>
      </c>
      <c r="Z3" s="81">
        <v>4</v>
      </c>
      <c r="AA3" s="81">
        <v>6</v>
      </c>
      <c r="AB3" s="81">
        <v>9</v>
      </c>
      <c r="AC3" s="81">
        <v>6</v>
      </c>
      <c r="AD3" s="81">
        <v>8</v>
      </c>
      <c r="AE3" s="81">
        <v>3</v>
      </c>
      <c r="AF3" s="81">
        <f>SUM(U3:AE3)</f>
        <v>101</v>
      </c>
    </row>
    <row r="4" spans="3:33" ht="15" x14ac:dyDescent="0.25">
      <c r="T4" s="80" t="s">
        <v>48</v>
      </c>
      <c r="U4" s="81">
        <v>1</v>
      </c>
      <c r="V4" s="81">
        <v>7</v>
      </c>
      <c r="W4" s="81">
        <v>3</v>
      </c>
      <c r="X4" s="98">
        <v>8</v>
      </c>
      <c r="Y4" s="81">
        <v>1</v>
      </c>
      <c r="Z4" s="81">
        <v>1</v>
      </c>
      <c r="AA4" s="81">
        <v>1</v>
      </c>
      <c r="AB4" s="81">
        <v>1</v>
      </c>
      <c r="AC4" s="81">
        <v>1</v>
      </c>
      <c r="AD4" s="81"/>
      <c r="AE4" s="81"/>
      <c r="AF4" s="81">
        <f>SUM(U4:AC4)</f>
        <v>24</v>
      </c>
    </row>
    <row r="5" spans="3:33" ht="15" x14ac:dyDescent="0.2">
      <c r="C5" s="1" t="s">
        <v>0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33</v>
      </c>
      <c r="I5" s="1" t="s">
        <v>34</v>
      </c>
      <c r="J5" s="1" t="s">
        <v>35</v>
      </c>
      <c r="K5" s="1" t="s">
        <v>36</v>
      </c>
      <c r="L5" s="1" t="s">
        <v>37</v>
      </c>
      <c r="M5" s="1" t="s">
        <v>38</v>
      </c>
      <c r="N5" s="1" t="s">
        <v>39</v>
      </c>
      <c r="O5" s="1" t="s">
        <v>40</v>
      </c>
      <c r="P5" s="1" t="s">
        <v>41</v>
      </c>
      <c r="T5" s="1" t="s">
        <v>0</v>
      </c>
      <c r="U5" s="1" t="s">
        <v>29</v>
      </c>
      <c r="V5" s="1" t="s">
        <v>30</v>
      </c>
      <c r="W5" s="1" t="s">
        <v>31</v>
      </c>
      <c r="X5" s="1" t="s">
        <v>32</v>
      </c>
      <c r="Y5" s="1" t="s">
        <v>33</v>
      </c>
      <c r="Z5" s="1" t="s">
        <v>34</v>
      </c>
      <c r="AA5" s="1" t="s">
        <v>35</v>
      </c>
      <c r="AB5" s="1" t="s">
        <v>36</v>
      </c>
      <c r="AC5" s="1" t="s">
        <v>37</v>
      </c>
      <c r="AD5" s="1" t="s">
        <v>51</v>
      </c>
      <c r="AE5" s="1" t="s">
        <v>50</v>
      </c>
      <c r="AF5" s="1" t="s">
        <v>41</v>
      </c>
    </row>
    <row r="6" spans="3:33" ht="14.1" customHeight="1" x14ac:dyDescent="0.2">
      <c r="C6" s="2" t="s">
        <v>1</v>
      </c>
      <c r="D6" s="52">
        <v>258.74794520547948</v>
      </c>
      <c r="E6" s="52">
        <v>787</v>
      </c>
      <c r="F6" s="52">
        <v>780</v>
      </c>
      <c r="G6" s="52">
        <v>831</v>
      </c>
      <c r="H6" s="52">
        <v>470</v>
      </c>
      <c r="I6" s="52">
        <v>309</v>
      </c>
      <c r="J6" s="52">
        <v>125</v>
      </c>
      <c r="K6" s="52">
        <v>564</v>
      </c>
      <c r="L6" s="52">
        <v>167</v>
      </c>
      <c r="M6" s="52">
        <v>43</v>
      </c>
      <c r="N6" s="52">
        <v>182</v>
      </c>
      <c r="O6" s="52">
        <v>158</v>
      </c>
      <c r="P6" s="53">
        <f>SUM(D6:O6)</f>
        <v>4674.7479452054795</v>
      </c>
      <c r="T6" s="2" t="s">
        <v>1</v>
      </c>
      <c r="U6" s="52">
        <v>258.74794520547948</v>
      </c>
      <c r="V6" s="52">
        <v>787</v>
      </c>
      <c r="W6" s="52">
        <v>665</v>
      </c>
      <c r="X6" s="52">
        <v>811</v>
      </c>
      <c r="Y6" s="52">
        <v>470</v>
      </c>
      <c r="Z6" s="52">
        <v>309</v>
      </c>
      <c r="AA6" s="52">
        <v>125</v>
      </c>
      <c r="AB6" s="52">
        <v>564</v>
      </c>
      <c r="AC6" s="52">
        <v>167</v>
      </c>
      <c r="AD6" s="52">
        <v>779</v>
      </c>
      <c r="AE6" s="52">
        <v>136</v>
      </c>
      <c r="AF6" s="53">
        <f>SUM(U6:AE6)</f>
        <v>5071.7479452054795</v>
      </c>
    </row>
    <row r="7" spans="3:33" ht="14.1" customHeight="1" x14ac:dyDescent="0.2">
      <c r="C7" s="54" t="s">
        <v>42</v>
      </c>
      <c r="D7" s="55"/>
      <c r="E7" s="55">
        <v>3</v>
      </c>
      <c r="F7" s="55">
        <v>45</v>
      </c>
      <c r="G7" s="55">
        <v>41</v>
      </c>
      <c r="H7" s="55"/>
      <c r="I7" s="55"/>
      <c r="J7" s="55"/>
      <c r="K7" s="55">
        <v>53</v>
      </c>
      <c r="L7" s="55"/>
      <c r="M7" s="55">
        <v>2</v>
      </c>
      <c r="N7" s="55">
        <v>13</v>
      </c>
      <c r="O7" s="55">
        <v>14</v>
      </c>
      <c r="P7" s="53">
        <f>SUM(D7:O7)</f>
        <v>171</v>
      </c>
      <c r="T7" s="54" t="s">
        <v>42</v>
      </c>
      <c r="U7" s="55"/>
      <c r="V7" s="55">
        <v>3</v>
      </c>
      <c r="W7" s="55">
        <v>44</v>
      </c>
      <c r="X7" s="55">
        <v>41</v>
      </c>
      <c r="Y7" s="55"/>
      <c r="Z7" s="55"/>
      <c r="AA7" s="55"/>
      <c r="AB7" s="55">
        <v>53</v>
      </c>
      <c r="AC7" s="55"/>
      <c r="AD7" s="82">
        <v>0.57594801026957643</v>
      </c>
      <c r="AE7" s="55">
        <v>0.62308823529411805</v>
      </c>
      <c r="AF7" s="53">
        <f>SUM(U7:AE7)</f>
        <v>142.19903624556369</v>
      </c>
    </row>
    <row r="8" spans="3:33" ht="14.1" customHeight="1" x14ac:dyDescent="0.2">
      <c r="C8" s="3" t="s">
        <v>2</v>
      </c>
      <c r="D8" s="36">
        <v>11867145.340000002</v>
      </c>
      <c r="E8" s="36">
        <v>25661050.430000003</v>
      </c>
      <c r="F8" s="36">
        <v>30026702.059999991</v>
      </c>
      <c r="G8" s="65">
        <v>30914814.700987164</v>
      </c>
      <c r="H8" s="36">
        <v>16768696</v>
      </c>
      <c r="I8" s="36">
        <v>13557541</v>
      </c>
      <c r="J8" s="36">
        <v>4914572</v>
      </c>
      <c r="K8" s="36">
        <v>20246946</v>
      </c>
      <c r="L8" s="36">
        <v>6432828</v>
      </c>
      <c r="M8" s="36">
        <v>1686175.54</v>
      </c>
      <c r="N8" s="36">
        <v>6917175.0300000003</v>
      </c>
      <c r="O8" s="36">
        <v>5838517.1000000006</v>
      </c>
      <c r="P8" s="37">
        <f t="shared" ref="P8:P21" si="1">SUM(D8:O8)</f>
        <v>174832163.20098713</v>
      </c>
      <c r="T8" s="3" t="s">
        <v>2</v>
      </c>
      <c r="U8" s="36">
        <v>11867145.340000002</v>
      </c>
      <c r="V8" s="36">
        <v>25661050.430000003</v>
      </c>
      <c r="W8" s="36">
        <v>25948557.269999992</v>
      </c>
      <c r="X8" s="65">
        <v>30094196.213602137</v>
      </c>
      <c r="Y8" s="36">
        <v>16768696</v>
      </c>
      <c r="Z8" s="36">
        <v>13557541</v>
      </c>
      <c r="AA8" s="36">
        <v>4914572</v>
      </c>
      <c r="AB8" s="36">
        <v>20246946</v>
      </c>
      <c r="AC8" s="36">
        <v>6432828</v>
      </c>
      <c r="AD8" s="36">
        <v>28085230.550000001</v>
      </c>
      <c r="AE8" s="36">
        <v>5944692.79</v>
      </c>
      <c r="AF8" s="37">
        <f>SUM(U8:AE8)</f>
        <v>189521455.59360215</v>
      </c>
      <c r="AG8">
        <f>AF8/AF22</f>
        <v>0.72829258808881181</v>
      </c>
    </row>
    <row r="9" spans="3:33" ht="14.1" customHeight="1" x14ac:dyDescent="0.2">
      <c r="C9" s="4" t="s">
        <v>3</v>
      </c>
      <c r="D9" s="38">
        <v>398980.74</v>
      </c>
      <c r="E9" s="38">
        <v>308550.15000000014</v>
      </c>
      <c r="F9" s="38">
        <v>215398.27999999817</v>
      </c>
      <c r="G9" s="42">
        <v>2668631.4330894961</v>
      </c>
      <c r="H9" s="38">
        <v>308247</v>
      </c>
      <c r="I9" s="38">
        <v>518121.76</v>
      </c>
      <c r="J9" s="38">
        <v>329593</v>
      </c>
      <c r="K9" s="38">
        <v>1046558</v>
      </c>
      <c r="L9" s="38">
        <v>306534</v>
      </c>
      <c r="M9" s="38">
        <v>486423.69000000006</v>
      </c>
      <c r="N9" s="38">
        <v>124745.60999999996</v>
      </c>
      <c r="O9" s="38">
        <v>192265.14</v>
      </c>
      <c r="P9" s="39">
        <f t="shared" si="1"/>
        <v>6904048.8030894948</v>
      </c>
      <c r="T9" s="4" t="s">
        <v>3</v>
      </c>
      <c r="U9" s="38">
        <v>398980.74</v>
      </c>
      <c r="V9" s="38">
        <v>308550.15000000014</v>
      </c>
      <c r="W9" s="38">
        <v>182529.57999999833</v>
      </c>
      <c r="X9" s="42">
        <v>2603050.3689682428</v>
      </c>
      <c r="Y9" s="38">
        <v>308247</v>
      </c>
      <c r="Z9" s="38">
        <v>518121.76</v>
      </c>
      <c r="AA9" s="38">
        <v>329593</v>
      </c>
      <c r="AB9" s="38">
        <v>1046558</v>
      </c>
      <c r="AC9" s="38">
        <v>306534</v>
      </c>
      <c r="AD9" s="38">
        <v>823039.73999999953</v>
      </c>
      <c r="AE9" s="38">
        <v>166259.88999999998</v>
      </c>
      <c r="AF9" s="39">
        <f>SUM(U9:AE9)</f>
        <v>6991464.2289682403</v>
      </c>
    </row>
    <row r="10" spans="3:33" ht="14.1" customHeight="1" x14ac:dyDescent="0.2">
      <c r="C10" s="5" t="s">
        <v>4</v>
      </c>
      <c r="D10" s="40">
        <v>104145.65999999999</v>
      </c>
      <c r="E10" s="40">
        <v>1070861.77</v>
      </c>
      <c r="F10" s="40">
        <v>1169213.8</v>
      </c>
      <c r="G10" s="44">
        <v>1839477.314487963</v>
      </c>
      <c r="H10" s="40">
        <v>1013580</v>
      </c>
      <c r="I10" s="40">
        <v>272405.99</v>
      </c>
      <c r="J10" s="40">
        <v>350084</v>
      </c>
      <c r="K10" s="40">
        <v>1114579</v>
      </c>
      <c r="L10" s="40">
        <v>70429</v>
      </c>
      <c r="M10" s="40"/>
      <c r="N10" s="40">
        <v>88551.51</v>
      </c>
      <c r="O10" s="40">
        <v>385231.1</v>
      </c>
      <c r="P10" s="41">
        <f t="shared" si="1"/>
        <v>7478559.1444879621</v>
      </c>
      <c r="T10" s="5" t="s">
        <v>4</v>
      </c>
      <c r="U10" s="40">
        <v>104145.65999999999</v>
      </c>
      <c r="V10" s="40">
        <v>1070861.77</v>
      </c>
      <c r="W10" s="40">
        <v>1019219.75</v>
      </c>
      <c r="X10" s="44">
        <v>1771017.9007564359</v>
      </c>
      <c r="Y10" s="40">
        <v>1013580</v>
      </c>
      <c r="Z10" s="40">
        <v>272405.99</v>
      </c>
      <c r="AA10" s="40">
        <v>350084</v>
      </c>
      <c r="AB10" s="40">
        <v>1114579</v>
      </c>
      <c r="AC10" s="40">
        <v>70429</v>
      </c>
      <c r="AD10" s="40">
        <v>999186.00999999989</v>
      </c>
      <c r="AE10" s="40">
        <v>266470.27999999997</v>
      </c>
      <c r="AF10" s="41">
        <f>SUM(U10:AE10)</f>
        <v>8051979.3607564354</v>
      </c>
    </row>
    <row r="11" spans="3:33" ht="14.1" customHeight="1" x14ac:dyDescent="0.2">
      <c r="C11" s="6" t="s">
        <v>5</v>
      </c>
      <c r="D11" s="42">
        <v>1957458.7200000002</v>
      </c>
      <c r="E11" s="42">
        <v>4179570.370000001</v>
      </c>
      <c r="F11" s="42">
        <v>3640018.65</v>
      </c>
      <c r="G11" s="42">
        <v>4415358.2928351285</v>
      </c>
      <c r="H11" s="42">
        <v>2091741</v>
      </c>
      <c r="I11" s="42">
        <v>1192407.1299999999</v>
      </c>
      <c r="J11" s="42">
        <v>637759</v>
      </c>
      <c r="K11" s="42">
        <v>2731673</v>
      </c>
      <c r="L11" s="42">
        <v>744435</v>
      </c>
      <c r="M11" s="42"/>
      <c r="N11" s="42">
        <v>918007.82000000007</v>
      </c>
      <c r="O11" s="42">
        <v>795946.82</v>
      </c>
      <c r="P11" s="43">
        <f t="shared" si="1"/>
        <v>23304375.802835129</v>
      </c>
      <c r="T11" s="6" t="s">
        <v>5</v>
      </c>
      <c r="U11" s="42">
        <v>1957458.7200000002</v>
      </c>
      <c r="V11" s="42">
        <v>4179570.370000001</v>
      </c>
      <c r="W11" s="42">
        <v>3072262.3299999996</v>
      </c>
      <c r="X11" s="42">
        <v>4266347.0270689707</v>
      </c>
      <c r="Y11" s="42">
        <v>2091741</v>
      </c>
      <c r="Z11" s="42">
        <v>1192407.1299999999</v>
      </c>
      <c r="AA11" s="42">
        <v>637759</v>
      </c>
      <c r="AB11" s="42">
        <v>2731673</v>
      </c>
      <c r="AC11" s="42">
        <v>744435</v>
      </c>
      <c r="AD11" s="42">
        <v>3168593.14</v>
      </c>
      <c r="AE11" s="42">
        <v>500578.54000000004</v>
      </c>
      <c r="AF11" s="43">
        <f>SUM(U11:AE11)</f>
        <v>24542825.257068973</v>
      </c>
    </row>
    <row r="12" spans="3:33" ht="14.1" customHeight="1" x14ac:dyDescent="0.2">
      <c r="C12" s="7" t="s">
        <v>6</v>
      </c>
      <c r="D12" s="44">
        <v>9912.2000000000007</v>
      </c>
      <c r="E12" s="44"/>
      <c r="F12" s="44">
        <v>723.09999999999991</v>
      </c>
      <c r="G12" s="44">
        <v>2766.71</v>
      </c>
      <c r="H12" s="44">
        <v>1510</v>
      </c>
      <c r="I12" s="44">
        <v>0</v>
      </c>
      <c r="J12" s="44">
        <v>0</v>
      </c>
      <c r="K12" s="44">
        <v>171</v>
      </c>
      <c r="L12" s="44">
        <v>0</v>
      </c>
      <c r="M12" s="44"/>
      <c r="N12" s="44">
        <v>20461.600000000002</v>
      </c>
      <c r="O12" s="44">
        <v>0</v>
      </c>
      <c r="P12" s="45">
        <f t="shared" si="1"/>
        <v>35544.61</v>
      </c>
      <c r="T12" s="7" t="s">
        <v>6</v>
      </c>
      <c r="U12" s="44">
        <v>9912.2000000000007</v>
      </c>
      <c r="V12" s="44"/>
      <c r="W12" s="44">
        <v>723.09999999999991</v>
      </c>
      <c r="X12" s="44">
        <v>2766.71</v>
      </c>
      <c r="Y12" s="44">
        <v>1510</v>
      </c>
      <c r="Z12" s="44">
        <v>0</v>
      </c>
      <c r="AA12" s="44">
        <v>0</v>
      </c>
      <c r="AB12" s="44">
        <v>171</v>
      </c>
      <c r="AC12" s="44">
        <v>0</v>
      </c>
      <c r="AD12" s="44">
        <v>0</v>
      </c>
      <c r="AE12" s="44">
        <v>184972.63</v>
      </c>
      <c r="AF12" s="45">
        <f>SUM(U12:AE12)</f>
        <v>200055.64</v>
      </c>
    </row>
    <row r="13" spans="3:33" ht="14.1" customHeight="1" x14ac:dyDescent="0.2">
      <c r="C13" s="6" t="s">
        <v>7</v>
      </c>
      <c r="D13" s="42">
        <v>388435.05999999994</v>
      </c>
      <c r="E13" s="42">
        <v>949642.91000000015</v>
      </c>
      <c r="F13" s="42">
        <v>1398741.68</v>
      </c>
      <c r="G13" s="42">
        <v>1210111.2203966544</v>
      </c>
      <c r="H13" s="42">
        <v>405490</v>
      </c>
      <c r="I13" s="42">
        <v>609561.93999999994</v>
      </c>
      <c r="J13" s="42">
        <v>134820</v>
      </c>
      <c r="K13" s="42">
        <v>956594</v>
      </c>
      <c r="L13" s="42">
        <v>331272</v>
      </c>
      <c r="M13" s="42">
        <v>32692.010000000002</v>
      </c>
      <c r="N13" s="42">
        <v>265587.3</v>
      </c>
      <c r="O13" s="42">
        <v>222348.00999999998</v>
      </c>
      <c r="P13" s="43">
        <f t="shared" si="1"/>
        <v>6905296.1303966539</v>
      </c>
      <c r="T13" s="6" t="s">
        <v>7</v>
      </c>
      <c r="U13" s="42">
        <v>388435.05999999994</v>
      </c>
      <c r="V13" s="42">
        <v>949642.91000000015</v>
      </c>
      <c r="W13" s="42">
        <v>1256180.76</v>
      </c>
      <c r="X13" s="42">
        <v>1184111.6081926932</v>
      </c>
      <c r="Y13" s="42">
        <v>405490</v>
      </c>
      <c r="Z13" s="42">
        <v>609561.93999999994</v>
      </c>
      <c r="AA13" s="42">
        <v>134820</v>
      </c>
      <c r="AB13" s="42">
        <v>956594</v>
      </c>
      <c r="AC13" s="42">
        <v>331272</v>
      </c>
      <c r="AD13" s="42">
        <v>2201257.15</v>
      </c>
      <c r="AE13" s="42">
        <v>181905.75</v>
      </c>
      <c r="AF13" s="43">
        <f>SUM(U13:AE13)</f>
        <v>8599271.1781926937</v>
      </c>
    </row>
    <row r="14" spans="3:33" ht="14.1" customHeight="1" x14ac:dyDescent="0.2">
      <c r="C14" s="5" t="s">
        <v>8</v>
      </c>
      <c r="D14" s="40">
        <v>872919.3</v>
      </c>
      <c r="E14" s="40">
        <v>6242234.4199999999</v>
      </c>
      <c r="F14" s="40">
        <v>5238960.3999999994</v>
      </c>
      <c r="G14" s="44">
        <v>2816239.0138673657</v>
      </c>
      <c r="H14" s="40">
        <v>2855200</v>
      </c>
      <c r="I14" s="40">
        <v>264336.48</v>
      </c>
      <c r="J14" s="40">
        <v>490848</v>
      </c>
      <c r="K14" s="40">
        <v>3104198</v>
      </c>
      <c r="L14" s="40">
        <v>917279</v>
      </c>
      <c r="M14" s="40">
        <v>606466.76</v>
      </c>
      <c r="N14" s="40">
        <v>1131199.78</v>
      </c>
      <c r="O14" s="40">
        <v>1391435.52</v>
      </c>
      <c r="P14" s="41">
        <f t="shared" si="1"/>
        <v>25931316.673867367</v>
      </c>
      <c r="T14" s="5" t="s">
        <v>8</v>
      </c>
      <c r="U14" s="40">
        <v>872919.3</v>
      </c>
      <c r="V14" s="40">
        <v>6242234.4199999999</v>
      </c>
      <c r="W14" s="40">
        <v>4870153.2699999996</v>
      </c>
      <c r="X14" s="44">
        <v>2809773.4626239487</v>
      </c>
      <c r="Y14" s="40">
        <v>2855200</v>
      </c>
      <c r="Z14" s="40">
        <v>264336.48</v>
      </c>
      <c r="AA14" s="40">
        <v>490848</v>
      </c>
      <c r="AB14" s="40">
        <v>3104198</v>
      </c>
      <c r="AC14" s="40">
        <v>917279</v>
      </c>
      <c r="AD14" s="40">
        <v>6592653.04</v>
      </c>
      <c r="AE14" s="40">
        <v>1271887.1400000001</v>
      </c>
      <c r="AF14" s="41">
        <f>SUM(U14:AE14)</f>
        <v>30291482.112623949</v>
      </c>
    </row>
    <row r="15" spans="3:33" ht="14.1" customHeight="1" x14ac:dyDescent="0.2">
      <c r="C15" s="8" t="s">
        <v>9</v>
      </c>
      <c r="D15" s="38">
        <v>27613.039999999994</v>
      </c>
      <c r="E15" s="38">
        <v>117647.7099999999</v>
      </c>
      <c r="F15" s="38">
        <v>216692.88000000012</v>
      </c>
      <c r="G15" s="42">
        <v>174606.28250610697</v>
      </c>
      <c r="H15" s="38">
        <v>288436</v>
      </c>
      <c r="I15" s="38">
        <v>45975.450000000026</v>
      </c>
      <c r="J15" s="38">
        <v>13101</v>
      </c>
      <c r="K15" s="38">
        <v>489872</v>
      </c>
      <c r="L15" s="38">
        <v>23494</v>
      </c>
      <c r="M15" s="38">
        <v>3647.54</v>
      </c>
      <c r="N15" s="38">
        <v>15969.9</v>
      </c>
      <c r="O15" s="38">
        <v>16508.86</v>
      </c>
      <c r="P15" s="39">
        <f t="shared" si="1"/>
        <v>1433564.662506107</v>
      </c>
      <c r="T15" s="8" t="s">
        <v>9</v>
      </c>
      <c r="U15" s="38">
        <v>27613.039999999994</v>
      </c>
      <c r="V15" s="38">
        <v>117647.7099999999</v>
      </c>
      <c r="W15" s="38">
        <v>191828.3000000001</v>
      </c>
      <c r="X15" s="42">
        <v>171023.10711563079</v>
      </c>
      <c r="Y15" s="38">
        <v>288436</v>
      </c>
      <c r="Z15" s="38">
        <v>45975.450000000026</v>
      </c>
      <c r="AA15" s="38">
        <v>13101</v>
      </c>
      <c r="AB15" s="38">
        <v>489872</v>
      </c>
      <c r="AC15" s="38">
        <v>23494</v>
      </c>
      <c r="AD15" s="38">
        <v>223517.52000000008</v>
      </c>
      <c r="AE15" s="38">
        <v>12300.610000000073</v>
      </c>
      <c r="AF15" s="39">
        <f>SUM(U15:AE15)</f>
        <v>1604808.7371156311</v>
      </c>
    </row>
    <row r="16" spans="3:33" ht="14.1" customHeight="1" x14ac:dyDescent="0.2">
      <c r="C16" s="5" t="s">
        <v>10</v>
      </c>
      <c r="D16" s="40">
        <v>349.77999999999975</v>
      </c>
      <c r="E16" s="40">
        <v>-770.7700000000001</v>
      </c>
      <c r="F16" s="40">
        <v>777.75</v>
      </c>
      <c r="G16" s="44">
        <v>-3989.9751164405643</v>
      </c>
      <c r="H16" s="40">
        <v>0</v>
      </c>
      <c r="I16" s="40">
        <v>0</v>
      </c>
      <c r="J16" s="40">
        <v>0</v>
      </c>
      <c r="K16" s="40">
        <v>127</v>
      </c>
      <c r="L16" s="40">
        <v>122</v>
      </c>
      <c r="M16" s="40">
        <v>4.3099999999999996</v>
      </c>
      <c r="N16" s="40">
        <v>0</v>
      </c>
      <c r="O16" s="40">
        <v>32.270000000000003</v>
      </c>
      <c r="P16" s="41">
        <f t="shared" si="1"/>
        <v>-3347.6351164405646</v>
      </c>
      <c r="T16" s="5" t="s">
        <v>10</v>
      </c>
      <c r="U16" s="40">
        <v>349.77999999999975</v>
      </c>
      <c r="V16" s="40">
        <v>-770.7700000000001</v>
      </c>
      <c r="W16" s="40">
        <v>735.5</v>
      </c>
      <c r="X16" s="44">
        <v>-3877.9187988166104</v>
      </c>
      <c r="Y16" s="40">
        <v>0</v>
      </c>
      <c r="Z16" s="40">
        <v>0</v>
      </c>
      <c r="AA16" s="40">
        <v>0</v>
      </c>
      <c r="AB16" s="40">
        <v>127</v>
      </c>
      <c r="AC16" s="40">
        <v>122</v>
      </c>
      <c r="AD16" s="40">
        <v>0</v>
      </c>
      <c r="AE16" s="40">
        <v>83.38</v>
      </c>
      <c r="AF16" s="41">
        <f>SUM(U16:AE16)</f>
        <v>-3231.0287988166106</v>
      </c>
    </row>
    <row r="17" spans="3:36" ht="14.1" customHeight="1" x14ac:dyDescent="0.2">
      <c r="C17" s="6" t="s">
        <v>11</v>
      </c>
      <c r="D17" s="42">
        <v>56499.26</v>
      </c>
      <c r="E17" s="42">
        <v>0</v>
      </c>
      <c r="F17" s="42">
        <v>0</v>
      </c>
      <c r="G17" s="42">
        <v>35983.1810458689</v>
      </c>
      <c r="H17" s="42">
        <v>146265</v>
      </c>
      <c r="I17" s="42">
        <v>17513.32</v>
      </c>
      <c r="J17" s="42">
        <v>0</v>
      </c>
      <c r="K17" s="42">
        <v>35</v>
      </c>
      <c r="L17" s="42">
        <v>0</v>
      </c>
      <c r="M17" s="42">
        <v>11113.98</v>
      </c>
      <c r="N17" s="42">
        <v>58591.31</v>
      </c>
      <c r="O17" s="42">
        <v>0</v>
      </c>
      <c r="P17" s="43">
        <f t="shared" si="1"/>
        <v>326001.0510458689</v>
      </c>
      <c r="T17" s="6" t="s">
        <v>11</v>
      </c>
      <c r="U17" s="42">
        <v>56499.26</v>
      </c>
      <c r="V17" s="42">
        <v>0</v>
      </c>
      <c r="W17" s="42">
        <v>0</v>
      </c>
      <c r="X17" s="42">
        <v>35089.209812120593</v>
      </c>
      <c r="Y17" s="42">
        <v>146265</v>
      </c>
      <c r="Z17" s="42">
        <v>17513.32</v>
      </c>
      <c r="AA17" s="42">
        <v>0</v>
      </c>
      <c r="AB17" s="42">
        <v>35</v>
      </c>
      <c r="AC17" s="42">
        <v>0</v>
      </c>
      <c r="AD17" s="42">
        <v>0</v>
      </c>
      <c r="AE17" s="42">
        <v>0</v>
      </c>
      <c r="AF17" s="43">
        <f>SUM(U17:AE17)</f>
        <v>255401.78981212061</v>
      </c>
    </row>
    <row r="18" spans="3:36" ht="14.1" customHeight="1" thickBot="1" x14ac:dyDescent="0.25">
      <c r="C18" s="9" t="s">
        <v>12</v>
      </c>
      <c r="D18" s="46">
        <v>0</v>
      </c>
      <c r="E18" s="46">
        <v>4243052.2399999993</v>
      </c>
      <c r="F18" s="46">
        <v>3682973.6</v>
      </c>
      <c r="G18" s="46">
        <v>0</v>
      </c>
      <c r="H18" s="46">
        <v>0</v>
      </c>
      <c r="I18" s="46">
        <v>0</v>
      </c>
      <c r="J18" s="46">
        <v>0</v>
      </c>
      <c r="K18" s="46">
        <v>655478</v>
      </c>
      <c r="L18" s="46">
        <v>293751</v>
      </c>
      <c r="M18" s="46">
        <v>0</v>
      </c>
      <c r="N18" s="46">
        <v>0</v>
      </c>
      <c r="O18" s="46">
        <v>853535.47995000007</v>
      </c>
      <c r="P18" s="47">
        <f t="shared" si="1"/>
        <v>9728790.3199499995</v>
      </c>
      <c r="T18" s="9" t="s">
        <v>12</v>
      </c>
      <c r="U18" s="46">
        <v>0</v>
      </c>
      <c r="V18" s="46">
        <v>4243052.2399999993</v>
      </c>
      <c r="W18" s="46">
        <v>3270689.7</v>
      </c>
      <c r="X18" s="46">
        <v>0</v>
      </c>
      <c r="Y18" s="46">
        <v>0</v>
      </c>
      <c r="Z18" s="46">
        <v>0</v>
      </c>
      <c r="AA18" s="46">
        <v>0</v>
      </c>
      <c r="AB18" s="46">
        <v>655478</v>
      </c>
      <c r="AC18" s="46">
        <v>293751</v>
      </c>
      <c r="AD18" s="46">
        <v>0</v>
      </c>
      <c r="AE18" s="46">
        <v>0</v>
      </c>
      <c r="AF18" s="47">
        <f>SUM(U18:AE18)</f>
        <v>8462970.9399999995</v>
      </c>
    </row>
    <row r="19" spans="3:36" ht="14.1" customHeight="1" x14ac:dyDescent="0.2">
      <c r="C19" s="32" t="s">
        <v>13</v>
      </c>
      <c r="D19" s="48">
        <v>15683459.100000001</v>
      </c>
      <c r="E19" s="48">
        <v>42771839.230000004</v>
      </c>
      <c r="F19" s="48">
        <v>45590202.199999996</v>
      </c>
      <c r="G19" s="48">
        <v>44073998.174099311</v>
      </c>
      <c r="H19" s="48">
        <v>23879165</v>
      </c>
      <c r="I19" s="48">
        <v>16477863.069999998</v>
      </c>
      <c r="J19" s="48">
        <v>6870777</v>
      </c>
      <c r="K19" s="48">
        <v>30346231</v>
      </c>
      <c r="L19" s="48">
        <v>9120144</v>
      </c>
      <c r="M19" s="48">
        <v>2826523.83</v>
      </c>
      <c r="N19" s="48">
        <v>9540289.8600000013</v>
      </c>
      <c r="O19" s="48">
        <v>9695820.299949998</v>
      </c>
      <c r="P19" s="49">
        <f t="shared" si="1"/>
        <v>256876312.76404932</v>
      </c>
      <c r="T19" s="32" t="s">
        <v>13</v>
      </c>
      <c r="U19" s="48">
        <v>15683459.100000001</v>
      </c>
      <c r="V19" s="48">
        <v>42771839.230000004</v>
      </c>
      <c r="W19" s="48">
        <v>39812879.559999987</v>
      </c>
      <c r="X19" s="48">
        <v>42933497.689341359</v>
      </c>
      <c r="Y19" s="48">
        <v>23879165</v>
      </c>
      <c r="Z19" s="48">
        <v>16477863.069999998</v>
      </c>
      <c r="AA19" s="48">
        <v>6870777</v>
      </c>
      <c r="AB19" s="48">
        <v>30346231</v>
      </c>
      <c r="AC19" s="48">
        <v>9120144</v>
      </c>
      <c r="AD19" s="48">
        <v>42093477.150000006</v>
      </c>
      <c r="AE19" s="48">
        <v>8529151.0099999998</v>
      </c>
      <c r="AF19" s="49">
        <f>SUM(AF8:AF18)</f>
        <v>278518483.80934137</v>
      </c>
    </row>
    <row r="20" spans="3:36" ht="14.1" customHeight="1" x14ac:dyDescent="0.2">
      <c r="C20" s="7" t="s">
        <v>14</v>
      </c>
      <c r="D20" s="44"/>
      <c r="E20" s="44">
        <v>4276305.71</v>
      </c>
      <c r="F20" s="44">
        <v>3059429.4800000051</v>
      </c>
      <c r="G20" s="44">
        <v>71.98</v>
      </c>
      <c r="H20" s="44">
        <v>1989910</v>
      </c>
      <c r="I20" s="44">
        <v>0</v>
      </c>
      <c r="J20" s="44">
        <v>0</v>
      </c>
      <c r="K20" s="44">
        <v>2601293</v>
      </c>
      <c r="L20" s="44">
        <v>548055</v>
      </c>
      <c r="M20" s="44">
        <v>283419.21999999997</v>
      </c>
      <c r="N20" s="44">
        <v>934378.3899999999</v>
      </c>
      <c r="O20" s="44">
        <v>603796.81000000006</v>
      </c>
      <c r="P20" s="45">
        <f t="shared" si="1"/>
        <v>14296659.590000007</v>
      </c>
      <c r="T20" s="7" t="s">
        <v>14</v>
      </c>
      <c r="U20" s="44"/>
      <c r="V20" s="44">
        <v>4276305.71</v>
      </c>
      <c r="W20" s="44">
        <v>2855474.3200000045</v>
      </c>
      <c r="X20" s="44">
        <v>71.98</v>
      </c>
      <c r="Y20" s="44">
        <v>1989910</v>
      </c>
      <c r="Z20" s="44">
        <v>0</v>
      </c>
      <c r="AA20" s="44">
        <v>0</v>
      </c>
      <c r="AB20" s="44">
        <v>2601293</v>
      </c>
      <c r="AC20" s="44">
        <v>548055</v>
      </c>
      <c r="AD20" s="44">
        <v>3447617.59</v>
      </c>
      <c r="AE20" s="44">
        <v>815147.74</v>
      </c>
      <c r="AF20" s="45">
        <f>SUM(U20:AE20)</f>
        <v>16533875.340000005</v>
      </c>
    </row>
    <row r="21" spans="3:36" ht="14.1" customHeight="1" x14ac:dyDescent="0.2">
      <c r="C21" s="10" t="s">
        <v>15</v>
      </c>
      <c r="D21" s="50">
        <v>872919.3</v>
      </c>
      <c r="E21" s="50">
        <v>1965928.71</v>
      </c>
      <c r="F21" s="50">
        <v>2179530.9199999943</v>
      </c>
      <c r="G21" s="66">
        <v>2816167.0338673652</v>
      </c>
      <c r="H21" s="50">
        <v>865290</v>
      </c>
      <c r="I21" s="50"/>
      <c r="J21" s="50">
        <v>490848</v>
      </c>
      <c r="K21" s="50">
        <v>502905</v>
      </c>
      <c r="L21" s="50">
        <v>369224</v>
      </c>
      <c r="M21" s="50">
        <v>323047.54000000004</v>
      </c>
      <c r="N21" s="50">
        <v>196821.39000000013</v>
      </c>
      <c r="O21" s="50">
        <v>787638.71</v>
      </c>
      <c r="P21" s="51">
        <f t="shared" si="1"/>
        <v>11370320.603867359</v>
      </c>
      <c r="T21" s="10" t="s">
        <v>15</v>
      </c>
      <c r="U21" s="50">
        <v>872919.3</v>
      </c>
      <c r="V21" s="50">
        <v>1965928.71</v>
      </c>
      <c r="W21" s="50">
        <f>W14-W20</f>
        <v>2014678.9499999951</v>
      </c>
      <c r="X21" s="66">
        <v>2816167.0338673652</v>
      </c>
      <c r="Y21" s="50">
        <v>865290</v>
      </c>
      <c r="Z21" s="50"/>
      <c r="AA21" s="50">
        <v>490848</v>
      </c>
      <c r="AB21" s="50">
        <v>502905</v>
      </c>
      <c r="AC21" s="50">
        <v>369224</v>
      </c>
      <c r="AD21" s="50">
        <f>AD14-AD20</f>
        <v>3145035.45</v>
      </c>
      <c r="AE21" s="50">
        <f>AE14-AE20</f>
        <v>456739.40000000014</v>
      </c>
      <c r="AF21" s="51">
        <f>SUM(U21:AE21)</f>
        <v>13499735.84386736</v>
      </c>
      <c r="AH21" s="76">
        <f>AF22/AJ22</f>
        <v>260.22708275934139</v>
      </c>
    </row>
    <row r="22" spans="3:36" ht="14.1" customHeight="1" x14ac:dyDescent="0.2">
      <c r="C22" s="5" t="s">
        <v>16</v>
      </c>
      <c r="D22" s="40">
        <v>15683459.100000001</v>
      </c>
      <c r="E22" s="40">
        <v>38495533.520000003</v>
      </c>
      <c r="F22" s="40">
        <v>42530772.719999991</v>
      </c>
      <c r="G22" s="44">
        <v>42297247.304099299</v>
      </c>
      <c r="H22" s="40">
        <v>21889255</v>
      </c>
      <c r="I22" s="40">
        <v>16477863.070000004</v>
      </c>
      <c r="J22" s="40">
        <v>6870777</v>
      </c>
      <c r="K22" s="40">
        <v>27744938</v>
      </c>
      <c r="L22" s="40">
        <v>8572089</v>
      </c>
      <c r="M22" s="40">
        <v>2543104.6100000003</v>
      </c>
      <c r="N22" s="40">
        <v>8605911.4700000007</v>
      </c>
      <c r="O22" s="40">
        <v>9092023.4899499975</v>
      </c>
      <c r="P22" s="41">
        <f>SUM(D22:O22)</f>
        <v>240802974.2840493</v>
      </c>
      <c r="T22" s="5" t="s">
        <v>16</v>
      </c>
      <c r="U22" s="40">
        <f>U19-U20</f>
        <v>15683459.100000001</v>
      </c>
      <c r="V22" s="40">
        <f>V19-V20</f>
        <v>38495533.520000003</v>
      </c>
      <c r="W22" s="40">
        <f>W19-W20</f>
        <v>36957405.23999998</v>
      </c>
      <c r="X22" s="44">
        <v>41175899.999341398</v>
      </c>
      <c r="Y22" s="40">
        <f>Y19-Y20</f>
        <v>21889255</v>
      </c>
      <c r="Z22" s="40">
        <f t="shared" ref="Z22:AE22" si="2">Z19-Z20</f>
        <v>16477863.069999998</v>
      </c>
      <c r="AA22" s="40">
        <f t="shared" si="2"/>
        <v>6870777</v>
      </c>
      <c r="AB22" s="40">
        <f t="shared" si="2"/>
        <v>27744938</v>
      </c>
      <c r="AC22" s="40">
        <f t="shared" si="2"/>
        <v>8572089</v>
      </c>
      <c r="AD22" s="40">
        <f t="shared" si="2"/>
        <v>38645859.560000002</v>
      </c>
      <c r="AE22" s="40">
        <f t="shared" si="2"/>
        <v>7714003.2699999996</v>
      </c>
      <c r="AF22" s="41">
        <f>SUM(U22:AE22)</f>
        <v>260227082.75934139</v>
      </c>
      <c r="AH22">
        <f>AF24/AJ22</f>
        <v>1.7850648557228916</v>
      </c>
      <c r="AJ22">
        <v>1000000</v>
      </c>
    </row>
    <row r="23" spans="3:36" ht="14.1" customHeight="1" x14ac:dyDescent="0.2">
      <c r="C23" s="11" t="s">
        <v>17</v>
      </c>
      <c r="D23" s="18">
        <f>D22/D24</f>
        <v>171.19865459676708</v>
      </c>
      <c r="E23" s="18">
        <f>E22/E24</f>
        <v>138.15640121469718</v>
      </c>
      <c r="F23" s="18">
        <f>F22/F24</f>
        <v>154.00828044713367</v>
      </c>
      <c r="G23" s="26">
        <f>G22/G24</f>
        <v>149.18997458587822</v>
      </c>
      <c r="H23" s="18">
        <v>131.5432367708612</v>
      </c>
      <c r="I23" s="18">
        <v>150.61832425438601</v>
      </c>
      <c r="J23" s="18">
        <v>155.24986866261827</v>
      </c>
      <c r="K23" s="18">
        <v>138.94408270659372</v>
      </c>
      <c r="L23" s="18">
        <v>144.97916749469567</v>
      </c>
      <c r="M23" s="18">
        <v>167.04411149390938</v>
      </c>
      <c r="N23" s="18">
        <v>133.55522625940648</v>
      </c>
      <c r="O23" s="18">
        <v>162.53199397835886</v>
      </c>
      <c r="P23" s="19">
        <f>P22/P24</f>
        <v>146.43894471695941</v>
      </c>
      <c r="T23" s="11" t="s">
        <v>17</v>
      </c>
      <c r="U23" s="18">
        <f>U22/U24</f>
        <v>171.19865459676708</v>
      </c>
      <c r="V23" s="18">
        <f t="shared" ref="V23:AC23" si="3">V22/V24</f>
        <v>138.15640121469718</v>
      </c>
      <c r="W23" s="18">
        <f>W22/W24</f>
        <v>156.9694830495246</v>
      </c>
      <c r="X23" s="26">
        <f>X22/X24</f>
        <v>148.89293028500072</v>
      </c>
      <c r="Y23" s="18">
        <f t="shared" si="3"/>
        <v>131.5432367708612</v>
      </c>
      <c r="Z23" s="18">
        <f t="shared" si="3"/>
        <v>150.61832425438601</v>
      </c>
      <c r="AA23" s="18">
        <f t="shared" si="3"/>
        <v>155.24986866261827</v>
      </c>
      <c r="AB23" s="18">
        <f t="shared" si="3"/>
        <v>138.94408270659372</v>
      </c>
      <c r="AC23" s="18">
        <f t="shared" si="3"/>
        <v>144.97916749469567</v>
      </c>
      <c r="AD23" s="18">
        <f>AD22/AD24</f>
        <v>140.12025367927589</v>
      </c>
      <c r="AE23" s="18">
        <f t="shared" ref="AE23" si="4">AE22/AE24</f>
        <v>160.20509046578667</v>
      </c>
      <c r="AF23" s="18">
        <f>AF22/AF24</f>
        <v>145.78018379839656</v>
      </c>
    </row>
    <row r="24" spans="3:36" ht="14.1" customHeight="1" thickBot="1" x14ac:dyDescent="0.25">
      <c r="C24" s="12" t="s">
        <v>18</v>
      </c>
      <c r="D24" s="20">
        <f>D6*D25*365</f>
        <v>91609.71</v>
      </c>
      <c r="E24" s="20">
        <f>E6*E25*365</f>
        <v>278637.34999999998</v>
      </c>
      <c r="F24" s="20">
        <f>F6*F25*365</f>
        <v>276159</v>
      </c>
      <c r="G24" s="67">
        <v>283512.66512048192</v>
      </c>
      <c r="H24" s="20">
        <v>166403.5</v>
      </c>
      <c r="I24" s="20">
        <v>109401.45</v>
      </c>
      <c r="J24" s="20">
        <v>44256.25</v>
      </c>
      <c r="K24" s="20">
        <v>199684.19999999998</v>
      </c>
      <c r="L24" s="20">
        <v>59126.35</v>
      </c>
      <c r="M24" s="20">
        <v>15224.15</v>
      </c>
      <c r="N24" s="20">
        <v>64437.1</v>
      </c>
      <c r="O24" s="20">
        <v>55939.9</v>
      </c>
      <c r="P24" s="21">
        <f>SUM(D24:O24)</f>
        <v>1644391.6251204819</v>
      </c>
      <c r="T24" s="12" t="s">
        <v>18</v>
      </c>
      <c r="U24" s="20">
        <v>91609.71</v>
      </c>
      <c r="V24" s="20">
        <v>278637.34999999998</v>
      </c>
      <c r="W24" s="20">
        <v>235443.25</v>
      </c>
      <c r="X24" s="67">
        <v>276547.04572289158</v>
      </c>
      <c r="Y24" s="20">
        <v>166403.5</v>
      </c>
      <c r="Z24" s="20">
        <v>109401.45</v>
      </c>
      <c r="AA24" s="20">
        <v>44256.25</v>
      </c>
      <c r="AB24" s="20">
        <v>199684.19999999998</v>
      </c>
      <c r="AC24" s="20">
        <v>59126.35</v>
      </c>
      <c r="AD24" s="20">
        <v>275804.95</v>
      </c>
      <c r="AE24" s="20">
        <v>48150.799999999996</v>
      </c>
      <c r="AF24" s="21">
        <f>SUM(U24:AE24)</f>
        <v>1785064.8557228916</v>
      </c>
    </row>
    <row r="25" spans="3:36" ht="14.1" customHeight="1" x14ac:dyDescent="0.2">
      <c r="C25" s="33" t="s">
        <v>19</v>
      </c>
      <c r="D25" s="34">
        <v>0.97</v>
      </c>
      <c r="E25" s="34">
        <v>0.97</v>
      </c>
      <c r="F25" s="34">
        <v>0.97</v>
      </c>
      <c r="G25" s="68">
        <v>0.97</v>
      </c>
      <c r="H25" s="35">
        <v>0.97</v>
      </c>
      <c r="I25" s="34">
        <v>0.97</v>
      </c>
      <c r="J25" s="34">
        <v>0.97</v>
      </c>
      <c r="K25" s="34">
        <v>0.97</v>
      </c>
      <c r="L25" s="34">
        <v>0.97</v>
      </c>
      <c r="M25" s="34">
        <v>0.97</v>
      </c>
      <c r="N25" s="34">
        <v>0.97</v>
      </c>
      <c r="O25" s="34">
        <v>0.97</v>
      </c>
      <c r="P25" s="35">
        <f>O25</f>
        <v>0.97</v>
      </c>
      <c r="T25" s="33" t="s">
        <v>19</v>
      </c>
      <c r="U25" s="34">
        <v>0.97</v>
      </c>
      <c r="V25" s="34">
        <v>0.97</v>
      </c>
      <c r="W25" s="34">
        <v>0.97</v>
      </c>
      <c r="X25" s="68">
        <v>0.97</v>
      </c>
      <c r="Y25" s="35">
        <v>0.97</v>
      </c>
      <c r="Z25" s="34">
        <v>0.97</v>
      </c>
      <c r="AA25" s="34">
        <v>0.97</v>
      </c>
      <c r="AB25" s="34">
        <v>0.97</v>
      </c>
      <c r="AC25" s="34">
        <v>0.97</v>
      </c>
      <c r="AD25" s="34">
        <v>0.97</v>
      </c>
      <c r="AE25" s="34">
        <v>0.97</v>
      </c>
      <c r="AF25" s="35">
        <v>0.97</v>
      </c>
      <c r="AG25">
        <f>AF33/AF36</f>
        <v>1.2792890128842331</v>
      </c>
    </row>
    <row r="26" spans="3:36" ht="14.1" hidden="1" customHeight="1" x14ac:dyDescent="0.2">
      <c r="C26" s="13" t="s">
        <v>20</v>
      </c>
      <c r="D26" s="22">
        <v>1.1901663044234065</v>
      </c>
      <c r="E26" s="22">
        <v>3.9735272747892565</v>
      </c>
      <c r="F26" s="22">
        <v>3.6426143661468235E-2</v>
      </c>
      <c r="G26" s="69">
        <v>3.6368465739313525</v>
      </c>
      <c r="H26" s="22"/>
      <c r="I26" s="22"/>
      <c r="J26" s="22">
        <v>3.5991978534105353</v>
      </c>
      <c r="K26" s="22">
        <v>0.23116000164259368</v>
      </c>
      <c r="L26" s="22">
        <v>0.6305479705748791</v>
      </c>
      <c r="M26" s="22">
        <v>11.077123517569124</v>
      </c>
      <c r="N26" s="22">
        <v>12.508124667311224</v>
      </c>
      <c r="O26" s="22">
        <v>2.8301087417031492E-2</v>
      </c>
      <c r="P26" s="23"/>
      <c r="T26" s="13" t="s">
        <v>20</v>
      </c>
      <c r="U26" s="22">
        <v>1.1901663044234065</v>
      </c>
      <c r="V26" s="22">
        <v>3.9735272747892565</v>
      </c>
      <c r="W26" s="22">
        <v>3.6426143661468235E-2</v>
      </c>
      <c r="X26" s="69">
        <v>3.6368465739313525</v>
      </c>
      <c r="Y26" s="22"/>
      <c r="Z26" s="22"/>
      <c r="AA26" s="22">
        <v>3.5991978534105353</v>
      </c>
      <c r="AB26" s="22">
        <v>0.23116000164259368</v>
      </c>
      <c r="AC26" s="22">
        <v>0.6305479705748791</v>
      </c>
      <c r="AD26" s="22"/>
      <c r="AE26" s="22"/>
      <c r="AF26" s="23"/>
    </row>
    <row r="27" spans="3:36" ht="14.1" hidden="1" customHeight="1" x14ac:dyDescent="0.2">
      <c r="C27" s="16" t="s">
        <v>21</v>
      </c>
      <c r="D27" s="28">
        <v>31.44696441021372</v>
      </c>
      <c r="E27" s="28">
        <v>29.604307498617828</v>
      </c>
      <c r="F27" s="28">
        <v>28.677479767761277</v>
      </c>
      <c r="G27" s="70">
        <v>27.428650133479376</v>
      </c>
      <c r="H27" s="28"/>
      <c r="I27" s="28"/>
      <c r="J27" s="28">
        <v>14.181612766558395</v>
      </c>
      <c r="K27" s="28">
        <v>29.100084032687615</v>
      </c>
      <c r="L27" s="28">
        <v>31.323851379291973</v>
      </c>
      <c r="M27" s="28">
        <v>16.199616398945096</v>
      </c>
      <c r="N27" s="28">
        <v>18.092709324286783</v>
      </c>
      <c r="O27" s="28">
        <v>0</v>
      </c>
      <c r="P27" s="29"/>
      <c r="T27" s="16" t="s">
        <v>21</v>
      </c>
      <c r="U27" s="28">
        <v>31.44696441021372</v>
      </c>
      <c r="V27" s="28">
        <v>29.604307498617828</v>
      </c>
      <c r="W27" s="28">
        <v>28.677479767761277</v>
      </c>
      <c r="X27" s="70">
        <v>27.428650133479376</v>
      </c>
      <c r="Y27" s="28"/>
      <c r="Z27" s="28"/>
      <c r="AA27" s="28">
        <v>14.181612766558395</v>
      </c>
      <c r="AB27" s="28">
        <v>29.100084032687615</v>
      </c>
      <c r="AC27" s="28">
        <v>31.323851379291973</v>
      </c>
      <c r="AD27" s="28"/>
      <c r="AE27" s="28"/>
      <c r="AF27" s="29"/>
    </row>
    <row r="28" spans="3:36" ht="14.1" hidden="1" customHeight="1" x14ac:dyDescent="0.2">
      <c r="C28" s="13" t="s">
        <v>22</v>
      </c>
      <c r="D28" s="22">
        <v>0.73142737816766368</v>
      </c>
      <c r="E28" s="22">
        <v>3.2364648888600182E-2</v>
      </c>
      <c r="F28" s="22">
        <v>0.24649866227091666</v>
      </c>
      <c r="G28" s="69">
        <v>2.9374701819620229E-3</v>
      </c>
      <c r="H28" s="22"/>
      <c r="I28" s="22"/>
      <c r="J28" s="22">
        <v>0.97841547803982487</v>
      </c>
      <c r="K28" s="22">
        <v>0.68906303052519935</v>
      </c>
      <c r="L28" s="22">
        <v>0.27855600760067212</v>
      </c>
      <c r="M28" s="22"/>
      <c r="N28" s="22">
        <v>1.5784458021853871</v>
      </c>
      <c r="O28" s="22">
        <v>7.2972591656402672E-2</v>
      </c>
      <c r="P28" s="23"/>
      <c r="T28" s="13" t="s">
        <v>22</v>
      </c>
      <c r="U28" s="22">
        <v>0.73142737816766368</v>
      </c>
      <c r="V28" s="22">
        <v>3.2364648888600182E-2</v>
      </c>
      <c r="W28" s="22">
        <v>0.24649866227091666</v>
      </c>
      <c r="X28" s="69">
        <v>2.9374701819620229E-3</v>
      </c>
      <c r="Y28" s="22"/>
      <c r="Z28" s="22"/>
      <c r="AA28" s="22">
        <v>0.97841547803982487</v>
      </c>
      <c r="AB28" s="22">
        <v>0.68906303052519935</v>
      </c>
      <c r="AC28" s="22">
        <v>0.27855600760067212</v>
      </c>
      <c r="AD28" s="22"/>
      <c r="AE28" s="22"/>
      <c r="AF28" s="23"/>
    </row>
    <row r="29" spans="3:36" ht="14.25" hidden="1" customHeight="1" x14ac:dyDescent="0.2">
      <c r="C29" s="16" t="s">
        <v>23</v>
      </c>
      <c r="D29" s="28">
        <v>33.36855809280479</v>
      </c>
      <c r="E29" s="28">
        <v>33.610199422295686</v>
      </c>
      <c r="F29" s="28">
        <v>28.960404573693662</v>
      </c>
      <c r="G29" s="70">
        <v>31.068434177592692</v>
      </c>
      <c r="H29" s="28"/>
      <c r="I29" s="28"/>
      <c r="J29" s="28">
        <v>18.759226098008757</v>
      </c>
      <c r="K29" s="28">
        <v>30.020307064855409</v>
      </c>
      <c r="L29" s="28">
        <v>32.232955357467524</v>
      </c>
      <c r="M29" s="28">
        <v>27.27673991651422</v>
      </c>
      <c r="N29" s="28">
        <v>32.179279793783394</v>
      </c>
      <c r="O29" s="60">
        <v>30.101273679073433</v>
      </c>
      <c r="P29" s="29"/>
      <c r="T29" s="16" t="s">
        <v>23</v>
      </c>
      <c r="U29" s="28">
        <v>33.36855809280479</v>
      </c>
      <c r="V29" s="28">
        <v>33.610199422295686</v>
      </c>
      <c r="W29" s="28">
        <v>28.960404573693662</v>
      </c>
      <c r="X29" s="70">
        <v>31.068434177592692</v>
      </c>
      <c r="Y29" s="28"/>
      <c r="Z29" s="28"/>
      <c r="AA29" s="28">
        <v>18.759226098008757</v>
      </c>
      <c r="AB29" s="28">
        <v>30.020307064855409</v>
      </c>
      <c r="AC29" s="28">
        <v>32.232955357467524</v>
      </c>
      <c r="AD29" s="28"/>
      <c r="AE29" s="28"/>
      <c r="AF29" s="29"/>
    </row>
    <row r="30" spans="3:36" ht="14.1" hidden="1" customHeight="1" x14ac:dyDescent="0.2">
      <c r="C30" s="14" t="s">
        <v>24</v>
      </c>
      <c r="D30" s="24">
        <v>137.8300965039623</v>
      </c>
      <c r="E30" s="24">
        <v>104.54620179240149</v>
      </c>
      <c r="F30" s="24">
        <v>125.04787587344001</v>
      </c>
      <c r="G30" s="71">
        <v>118.12154040828558</v>
      </c>
      <c r="H30" s="24"/>
      <c r="I30" s="24"/>
      <c r="J30" s="24">
        <v>136.49064256460952</v>
      </c>
      <c r="K30" s="24">
        <v>108.9237756417383</v>
      </c>
      <c r="L30" s="24">
        <v>112.74621213722816</v>
      </c>
      <c r="M30" s="24">
        <v>139.76737157739515</v>
      </c>
      <c r="N30" s="24">
        <v>101.37594646562309</v>
      </c>
      <c r="O30" s="24">
        <v>132.43072029928541</v>
      </c>
      <c r="P30" s="25"/>
      <c r="T30" s="14" t="s">
        <v>24</v>
      </c>
      <c r="U30" s="24">
        <v>137.8300965039623</v>
      </c>
      <c r="V30" s="24">
        <v>104.54620179240149</v>
      </c>
      <c r="W30" s="24">
        <v>125.04787587344001</v>
      </c>
      <c r="X30" s="71">
        <v>118.12154040828558</v>
      </c>
      <c r="Y30" s="24"/>
      <c r="Z30" s="24"/>
      <c r="AA30" s="24">
        <v>136.49064256460952</v>
      </c>
      <c r="AB30" s="24">
        <v>108.9237756417383</v>
      </c>
      <c r="AC30" s="24">
        <v>112.74621213722816</v>
      </c>
      <c r="AD30" s="24"/>
      <c r="AE30" s="24"/>
      <c r="AF30" s="25"/>
    </row>
    <row r="31" spans="3:36" ht="14.1" customHeight="1" x14ac:dyDescent="0.2">
      <c r="C31" s="14" t="s">
        <v>45</v>
      </c>
      <c r="D31" s="62">
        <f>D19+((D33-D23)*D24)</f>
        <v>16508904.315789476</v>
      </c>
      <c r="E31" s="62">
        <f>E19</f>
        <v>42771839.230000004</v>
      </c>
      <c r="F31" s="62">
        <f>F19</f>
        <v>45590202.199999996</v>
      </c>
      <c r="G31" s="72">
        <f>G19+((G33-G23)*G24)</f>
        <v>44073998.174099311</v>
      </c>
      <c r="H31" s="62">
        <f>H19+((H33-H23)*H24)</f>
        <v>25031231.052631579</v>
      </c>
      <c r="I31" s="62">
        <f>I19+((I33-I23)*I24)</f>
        <v>17345119.021052632</v>
      </c>
      <c r="J31" s="62">
        <f>J19+((J33-J23)*J24)</f>
        <v>7232396.8421052638</v>
      </c>
      <c r="K31" s="62">
        <f>K19</f>
        <v>30346231</v>
      </c>
      <c r="L31" s="62">
        <f>L19</f>
        <v>9120144</v>
      </c>
      <c r="M31" s="62">
        <f>M19+((M33-M23)*M24)</f>
        <v>2960371.4410526315</v>
      </c>
      <c r="N31" s="62">
        <f>N19+((N33-N23)*N24)</f>
        <v>9993232.5689473711</v>
      </c>
      <c r="O31" s="62">
        <f>O19</f>
        <v>9695820.299949998</v>
      </c>
      <c r="P31" s="63">
        <f>SUM(D31:O31)</f>
        <v>260669490.1456283</v>
      </c>
      <c r="T31" s="14" t="s">
        <v>12</v>
      </c>
      <c r="U31" s="62">
        <f>(U33-U23)*U24</f>
        <v>825445.21578947385</v>
      </c>
      <c r="V31" s="62">
        <f t="shared" ref="V31:AC31" si="5">(V33-V23)*V24</f>
        <v>0</v>
      </c>
      <c r="W31" s="62">
        <f t="shared" si="5"/>
        <v>0</v>
      </c>
      <c r="X31" s="72">
        <f>(X33-X23)*X24</f>
        <v>2167152.6315442827</v>
      </c>
      <c r="Y31" s="62">
        <f t="shared" si="5"/>
        <v>1152066.0526315789</v>
      </c>
      <c r="Z31" s="62">
        <f t="shared" si="5"/>
        <v>867255.95105263242</v>
      </c>
      <c r="AA31" s="62">
        <f t="shared" si="5"/>
        <v>361619.84210526373</v>
      </c>
      <c r="AB31" s="62">
        <f t="shared" si="5"/>
        <v>0</v>
      </c>
      <c r="AC31" s="62">
        <f t="shared" si="5"/>
        <v>0</v>
      </c>
      <c r="AD31" s="62">
        <f>(AD33-AD23)*AD24</f>
        <v>2033992.6084210512</v>
      </c>
      <c r="AE31" s="62">
        <f>(AE33-AE23)*AE24</f>
        <v>406000.17210526369</v>
      </c>
      <c r="AF31" s="63">
        <f>SUM(U31:AE31)</f>
        <v>7813532.4736495465</v>
      </c>
    </row>
    <row r="32" spans="3:36" ht="14.1" customHeight="1" x14ac:dyDescent="0.2">
      <c r="C32" s="14"/>
      <c r="D32" s="62"/>
      <c r="E32" s="62"/>
      <c r="F32" s="62"/>
      <c r="G32" s="72"/>
      <c r="H32" s="62"/>
      <c r="I32" s="62"/>
      <c r="J32" s="62"/>
      <c r="K32" s="62"/>
      <c r="L32" s="62"/>
      <c r="M32" s="62"/>
      <c r="N32" s="62"/>
      <c r="O32" s="62"/>
      <c r="P32" s="63"/>
      <c r="T32" s="14" t="s">
        <v>46</v>
      </c>
      <c r="U32" s="62">
        <f>U22+U31</f>
        <v>16508904.315789476</v>
      </c>
      <c r="V32" s="62">
        <f t="shared" ref="V32:AC32" si="6">V22+V31</f>
        <v>38495533.520000003</v>
      </c>
      <c r="W32" s="62">
        <f t="shared" si="6"/>
        <v>36957405.23999998</v>
      </c>
      <c r="X32" s="72">
        <f t="shared" si="6"/>
        <v>43343052.630885683</v>
      </c>
      <c r="Y32" s="62">
        <f t="shared" si="6"/>
        <v>23041321.052631579</v>
      </c>
      <c r="Z32" s="62">
        <f t="shared" si="6"/>
        <v>17345119.021052632</v>
      </c>
      <c r="AA32" s="62">
        <f t="shared" si="6"/>
        <v>7232396.8421052638</v>
      </c>
      <c r="AB32" s="62">
        <f t="shared" si="6"/>
        <v>27744938</v>
      </c>
      <c r="AC32" s="62">
        <f t="shared" si="6"/>
        <v>8572089</v>
      </c>
      <c r="AD32" s="62">
        <f>AD22+AD31</f>
        <v>40679852.168421052</v>
      </c>
      <c r="AE32" s="62">
        <f>AE22+AE31</f>
        <v>8120003.4421052635</v>
      </c>
      <c r="AF32" s="63">
        <f>AF22+AF31</f>
        <v>268040615.23299092</v>
      </c>
    </row>
    <row r="33" spans="3:35" ht="14.1" customHeight="1" x14ac:dyDescent="0.2">
      <c r="C33" s="15" t="s">
        <v>25</v>
      </c>
      <c r="D33" s="26">
        <f>D23/0.95</f>
        <v>180.20911010186009</v>
      </c>
      <c r="E33" s="26">
        <f>E23</f>
        <v>138.15640121469718</v>
      </c>
      <c r="F33" s="26">
        <f>F23</f>
        <v>154.00828044713367</v>
      </c>
      <c r="G33" s="75">
        <f>G23</f>
        <v>149.18997458587822</v>
      </c>
      <c r="H33" s="26">
        <f>H23/0.95</f>
        <v>138.46656502195916</v>
      </c>
      <c r="I33" s="26">
        <f>I23/0.95</f>
        <v>158.54560447830107</v>
      </c>
      <c r="J33" s="26">
        <f>J23/0.95</f>
        <v>163.42091438170345</v>
      </c>
      <c r="K33" s="26">
        <f>K23</f>
        <v>138.94408270659372</v>
      </c>
      <c r="L33" s="26">
        <f>L23</f>
        <v>144.97916749469567</v>
      </c>
      <c r="M33" s="26">
        <f>M23/0.95</f>
        <v>175.83590683569409</v>
      </c>
      <c r="N33" s="26">
        <f>N23/0.95</f>
        <v>140.5844486941121</v>
      </c>
      <c r="O33" s="26">
        <f>O23</f>
        <v>162.53199397835886</v>
      </c>
      <c r="P33" s="27">
        <f>P31/P24</f>
        <v>158.52032214438543</v>
      </c>
      <c r="T33" s="15" t="s">
        <v>25</v>
      </c>
      <c r="U33" s="26">
        <f>U23/0.95</f>
        <v>180.20911010186009</v>
      </c>
      <c r="V33" s="26">
        <f>V23</f>
        <v>138.15640121469718</v>
      </c>
      <c r="W33" s="26">
        <f>W23</f>
        <v>156.9694830495246</v>
      </c>
      <c r="X33" s="26">
        <f>X23/0.95</f>
        <v>156.72940030000075</v>
      </c>
      <c r="Y33" s="26">
        <f>Y23/0.95</f>
        <v>138.46656502195916</v>
      </c>
      <c r="Z33" s="26">
        <f>Z23/0.95</f>
        <v>158.54560447830107</v>
      </c>
      <c r="AA33" s="26">
        <f>AA23/0.95</f>
        <v>163.42091438170345</v>
      </c>
      <c r="AB33" s="26">
        <f>AB23</f>
        <v>138.94408270659372</v>
      </c>
      <c r="AC33" s="26">
        <f>AC23</f>
        <v>144.97916749469567</v>
      </c>
      <c r="AD33" s="26">
        <f>AD23/0.95</f>
        <v>147.49500387292198</v>
      </c>
      <c r="AE33" s="26">
        <f>AE23/0.95</f>
        <v>168.63693733240703</v>
      </c>
      <c r="AF33" s="27">
        <f>AF32/AF24</f>
        <v>150.15735387633489</v>
      </c>
      <c r="AG33" s="77">
        <f>AF33/AF36</f>
        <v>1.2792890128842331</v>
      </c>
      <c r="AI33" s="61">
        <f>AF33-AF36</f>
        <v>32.781723847436098</v>
      </c>
    </row>
    <row r="34" spans="3:35" ht="14.1" customHeight="1" x14ac:dyDescent="0.2">
      <c r="C34" s="14" t="s">
        <v>26</v>
      </c>
      <c r="D34" s="24">
        <v>132.03</v>
      </c>
      <c r="E34" s="56">
        <f>120</f>
        <v>120</v>
      </c>
      <c r="F34" s="24">
        <v>139.97999999999999</v>
      </c>
      <c r="G34" s="71">
        <v>115</v>
      </c>
      <c r="H34" s="24">
        <v>120</v>
      </c>
      <c r="I34" s="24">
        <v>128.41999999999999</v>
      </c>
      <c r="J34" s="24">
        <v>117.5</v>
      </c>
      <c r="K34" s="24">
        <v>115</v>
      </c>
      <c r="L34" s="24">
        <v>128</v>
      </c>
      <c r="M34" s="24">
        <v>127</v>
      </c>
      <c r="N34" s="24">
        <v>124</v>
      </c>
      <c r="O34" s="24">
        <v>92</v>
      </c>
      <c r="P34" s="25"/>
      <c r="T34" s="14" t="s">
        <v>26</v>
      </c>
      <c r="U34" s="24">
        <v>132.03</v>
      </c>
      <c r="V34" s="56">
        <v>120</v>
      </c>
      <c r="W34" s="24">
        <v>139.97999999999999</v>
      </c>
      <c r="X34" s="71">
        <v>115.73</v>
      </c>
      <c r="Y34" s="24">
        <v>120</v>
      </c>
      <c r="Z34" s="24">
        <v>128.41999999999999</v>
      </c>
      <c r="AA34" s="24">
        <v>117.5</v>
      </c>
      <c r="AB34" s="24">
        <v>115</v>
      </c>
      <c r="AC34" s="24">
        <v>128</v>
      </c>
      <c r="AD34" s="24">
        <v>125.08</v>
      </c>
      <c r="AE34" s="24">
        <v>120.65</v>
      </c>
      <c r="AF34" s="89">
        <f>SUMPRODUCT(U34:AE34,U24:AE24)/AF24</f>
        <v>123.55329476726189</v>
      </c>
      <c r="AI34" s="64">
        <f>AI33*AF24</f>
        <v>58517503.150071196</v>
      </c>
    </row>
    <row r="35" spans="3:35" ht="14.1" customHeight="1" x14ac:dyDescent="0.2">
      <c r="C35" s="16" t="s">
        <v>27</v>
      </c>
      <c r="D35" s="28">
        <v>-6.6015000000000006</v>
      </c>
      <c r="E35" s="57">
        <f>-E34*0.05</f>
        <v>-6</v>
      </c>
      <c r="F35" s="28">
        <v>-6.9989999999999997</v>
      </c>
      <c r="G35" s="70">
        <v>-5.75</v>
      </c>
      <c r="H35" s="28">
        <v>-6</v>
      </c>
      <c r="I35" s="28">
        <v>-6.4209999999999994</v>
      </c>
      <c r="J35" s="28">
        <v>-5.875</v>
      </c>
      <c r="K35" s="28">
        <v>-5.75</v>
      </c>
      <c r="L35" s="28">
        <v>-6.4</v>
      </c>
      <c r="M35" s="28">
        <v>-6.3500000000000005</v>
      </c>
      <c r="N35" s="28">
        <v>-6.2</v>
      </c>
      <c r="O35" s="28">
        <v>-4.6000000000000005</v>
      </c>
      <c r="P35" s="29"/>
      <c r="T35" s="16" t="s">
        <v>27</v>
      </c>
      <c r="U35" s="28">
        <f>-U34*0.05</f>
        <v>-6.6015000000000006</v>
      </c>
      <c r="V35" s="28">
        <f t="shared" ref="V35:AE35" si="7">-V34*0.05</f>
        <v>-6</v>
      </c>
      <c r="W35" s="28">
        <f t="shared" si="7"/>
        <v>-6.9989999999999997</v>
      </c>
      <c r="X35" s="70">
        <f t="shared" si="7"/>
        <v>-5.7865000000000002</v>
      </c>
      <c r="Y35" s="28">
        <f t="shared" si="7"/>
        <v>-6</v>
      </c>
      <c r="Z35" s="28">
        <f t="shared" si="7"/>
        <v>-6.4209999999999994</v>
      </c>
      <c r="AA35" s="28">
        <f t="shared" si="7"/>
        <v>-5.875</v>
      </c>
      <c r="AB35" s="28">
        <f t="shared" si="7"/>
        <v>-5.75</v>
      </c>
      <c r="AC35" s="28">
        <f t="shared" si="7"/>
        <v>-6.4</v>
      </c>
      <c r="AD35" s="28">
        <f t="shared" si="7"/>
        <v>-6.2540000000000004</v>
      </c>
      <c r="AE35" s="28">
        <f t="shared" si="7"/>
        <v>-6.0325000000000006</v>
      </c>
      <c r="AF35" s="90">
        <f>SUMPRODUCT(U35:AE35,U24:AE24)/AF24</f>
        <v>-6.1776647383630952</v>
      </c>
      <c r="AG35" s="96">
        <f>SUMPRODUCT(U35:AE35,U24:AE24)/SUM(U24:AE24)</f>
        <v>-6.1776647383630952</v>
      </c>
    </row>
    <row r="36" spans="3:35" ht="14.1" customHeight="1" x14ac:dyDescent="0.2">
      <c r="C36" s="17" t="s">
        <v>28</v>
      </c>
      <c r="D36" s="30">
        <v>125.4285</v>
      </c>
      <c r="E36" s="58">
        <f>E34+E35</f>
        <v>114</v>
      </c>
      <c r="F36" s="30">
        <v>132.98099999999999</v>
      </c>
      <c r="G36" s="73">
        <v>109.25</v>
      </c>
      <c r="H36" s="30">
        <v>114</v>
      </c>
      <c r="I36" s="30">
        <v>121.999</v>
      </c>
      <c r="J36" s="30">
        <v>111.625</v>
      </c>
      <c r="K36" s="30">
        <v>109.25</v>
      </c>
      <c r="L36" s="30">
        <v>121.6</v>
      </c>
      <c r="M36" s="30">
        <v>120.65</v>
      </c>
      <c r="N36" s="30">
        <v>117.8</v>
      </c>
      <c r="O36" s="30">
        <v>87.4</v>
      </c>
      <c r="P36" s="31"/>
      <c r="T36" s="17" t="s">
        <v>28</v>
      </c>
      <c r="U36" s="30">
        <v>125.4285</v>
      </c>
      <c r="V36" s="58">
        <v>114</v>
      </c>
      <c r="W36" s="30">
        <v>132.98099999999999</v>
      </c>
      <c r="X36" s="73">
        <v>109.9435</v>
      </c>
      <c r="Y36" s="30">
        <v>114</v>
      </c>
      <c r="Z36" s="30">
        <v>121.999</v>
      </c>
      <c r="AA36" s="30">
        <v>111.625</v>
      </c>
      <c r="AB36" s="30">
        <v>109.25</v>
      </c>
      <c r="AC36" s="30">
        <v>121.6</v>
      </c>
      <c r="AD36" s="30">
        <v>118.82599999999999</v>
      </c>
      <c r="AE36" s="30">
        <v>115.4</v>
      </c>
      <c r="AF36" s="91">
        <f>AF34+AF35</f>
        <v>117.3756300288988</v>
      </c>
      <c r="AG36" s="83">
        <f>SUMPRODUCT(U36:AE36,U24:AE24)/SUM(U24:AE24)</f>
        <v>117.39673738579914</v>
      </c>
    </row>
    <row r="37" spans="3:35" ht="14.1" customHeight="1" x14ac:dyDescent="0.2">
      <c r="C37" s="85"/>
      <c r="D37" s="79"/>
      <c r="E37" s="86"/>
      <c r="F37" s="79"/>
      <c r="G37" s="87"/>
      <c r="H37" s="79"/>
      <c r="I37" s="79"/>
      <c r="J37" s="79"/>
      <c r="K37" s="79"/>
      <c r="L37" s="79"/>
      <c r="M37" s="79"/>
      <c r="N37" s="79"/>
      <c r="O37" s="79"/>
      <c r="P37" s="79"/>
      <c r="T37" s="85"/>
      <c r="U37" s="79">
        <f>U33-U36</f>
        <v>54.780610101860091</v>
      </c>
      <c r="V37" s="79">
        <f t="shared" ref="V37:AE37" si="8">V33-V36</f>
        <v>24.156401214697183</v>
      </c>
      <c r="W37" s="79">
        <f t="shared" si="8"/>
        <v>23.988483049524604</v>
      </c>
      <c r="X37" s="87">
        <f>X33-X36</f>
        <v>46.785900300000748</v>
      </c>
      <c r="Y37" s="79">
        <f t="shared" si="8"/>
        <v>24.466565021959156</v>
      </c>
      <c r="Z37" s="79">
        <f t="shared" si="8"/>
        <v>36.546604478301077</v>
      </c>
      <c r="AA37" s="79">
        <f t="shared" si="8"/>
        <v>51.795914381703454</v>
      </c>
      <c r="AB37" s="79">
        <f t="shared" si="8"/>
        <v>29.694082706593719</v>
      </c>
      <c r="AC37" s="79">
        <f t="shared" si="8"/>
        <v>23.379167494695679</v>
      </c>
      <c r="AD37" s="79">
        <f t="shared" si="8"/>
        <v>28.669003872921991</v>
      </c>
      <c r="AE37" s="79">
        <f t="shared" si="8"/>
        <v>53.236937332407024</v>
      </c>
      <c r="AF37" s="79">
        <f>AF33-AF36</f>
        <v>32.781723847436098</v>
      </c>
    </row>
    <row r="38" spans="3:35" ht="14.1" customHeight="1" x14ac:dyDescent="0.2">
      <c r="C38" s="85"/>
      <c r="D38" s="79"/>
      <c r="E38" s="86"/>
      <c r="F38" s="79"/>
      <c r="G38" s="87"/>
      <c r="H38" s="79"/>
      <c r="I38" s="79"/>
      <c r="J38" s="79"/>
      <c r="K38" s="79"/>
      <c r="L38" s="79"/>
      <c r="M38" s="79"/>
      <c r="N38" s="79"/>
      <c r="O38" s="79"/>
      <c r="P38" s="79"/>
      <c r="T38" s="85"/>
      <c r="U38" s="79">
        <f>U37*U24</f>
        <v>5018435.8050544737</v>
      </c>
      <c r="V38" s="79">
        <f t="shared" ref="V38:AE38" si="9">V37*V24</f>
        <v>6730875.6200000038</v>
      </c>
      <c r="W38" s="79">
        <f t="shared" si="9"/>
        <v>5647926.4117499832</v>
      </c>
      <c r="X38" s="87">
        <f>X37*X24</f>
        <v>12938502.509450953</v>
      </c>
      <c r="Y38" s="79">
        <f t="shared" si="9"/>
        <v>4071322.0526315803</v>
      </c>
      <c r="Z38" s="79">
        <f t="shared" si="9"/>
        <v>3998251.5225026314</v>
      </c>
      <c r="AA38" s="79">
        <f t="shared" si="9"/>
        <v>2292292.9358552634</v>
      </c>
      <c r="AB38" s="79">
        <f t="shared" si="9"/>
        <v>5929439.1500000013</v>
      </c>
      <c r="AC38" s="79">
        <f t="shared" si="9"/>
        <v>1382324.8399999999</v>
      </c>
      <c r="AD38" s="79">
        <f t="shared" si="9"/>
        <v>7907053.1797210565</v>
      </c>
      <c r="AE38" s="79">
        <f t="shared" si="9"/>
        <v>2563401.1221052641</v>
      </c>
      <c r="AF38" s="79">
        <f>AF37*AF24</f>
        <v>58517503.150071196</v>
      </c>
    </row>
    <row r="39" spans="3:35" ht="14.1" customHeight="1" x14ac:dyDescent="0.2">
      <c r="C39" s="85"/>
      <c r="D39" s="79"/>
      <c r="E39" s="86"/>
      <c r="F39" s="79"/>
      <c r="G39" s="87"/>
      <c r="H39" s="79"/>
      <c r="I39" s="79"/>
      <c r="J39" s="79"/>
      <c r="K39" s="79"/>
      <c r="L39" s="79"/>
      <c r="M39" s="79"/>
      <c r="N39" s="79"/>
      <c r="O39" s="79"/>
      <c r="P39" s="79"/>
      <c r="T39" s="92" t="s">
        <v>52</v>
      </c>
      <c r="U39" s="93" t="s">
        <v>53</v>
      </c>
      <c r="V39" s="94" t="s">
        <v>53</v>
      </c>
      <c r="W39" s="93" t="s">
        <v>53</v>
      </c>
      <c r="X39" s="99" t="s">
        <v>53</v>
      </c>
      <c r="Y39" s="93" t="s">
        <v>53</v>
      </c>
      <c r="Z39" s="93" t="s">
        <v>53</v>
      </c>
      <c r="AA39" s="93"/>
      <c r="AB39" s="93" t="s">
        <v>53</v>
      </c>
      <c r="AC39" s="93" t="s">
        <v>53</v>
      </c>
      <c r="AD39" s="93" t="s">
        <v>53</v>
      </c>
      <c r="AE39" s="93" t="s">
        <v>53</v>
      </c>
      <c r="AF39" s="95">
        <f>AF38/1000000</f>
        <v>58.5175031500712</v>
      </c>
      <c r="AG39" s="77">
        <f>(AF33/AF36)-1</f>
        <v>0.27928901288423313</v>
      </c>
    </row>
    <row r="40" spans="3:35" ht="14.1" customHeight="1" x14ac:dyDescent="0.2">
      <c r="C40" s="85"/>
      <c r="D40" s="79"/>
      <c r="E40" s="86"/>
      <c r="F40" s="79"/>
      <c r="G40" s="87"/>
      <c r="H40" s="79"/>
      <c r="I40" s="79"/>
      <c r="J40" s="79"/>
      <c r="K40" s="79"/>
      <c r="L40" s="79"/>
      <c r="M40" s="79"/>
      <c r="N40" s="79"/>
      <c r="O40" s="79"/>
      <c r="P40" s="79"/>
      <c r="T40" s="85"/>
      <c r="U40" s="79">
        <f>U34*U24</f>
        <v>12095230.011300001</v>
      </c>
      <c r="V40" s="79">
        <f t="shared" ref="V40:AD40" si="10">V34*V24</f>
        <v>33436481.999999996</v>
      </c>
      <c r="W40" s="79">
        <f t="shared" si="10"/>
        <v>32957346.134999998</v>
      </c>
      <c r="X40" s="87">
        <f t="shared" si="10"/>
        <v>32004789.601510242</v>
      </c>
      <c r="Y40" s="79">
        <f t="shared" si="10"/>
        <v>19968420</v>
      </c>
      <c r="Z40" s="79">
        <f t="shared" si="10"/>
        <v>14049334.208999999</v>
      </c>
      <c r="AA40" s="79">
        <f t="shared" si="10"/>
        <v>5200109.375</v>
      </c>
      <c r="AB40" s="79">
        <f t="shared" si="10"/>
        <v>22963682.999999996</v>
      </c>
      <c r="AC40" s="79">
        <f t="shared" si="10"/>
        <v>7568172.7999999998</v>
      </c>
      <c r="AD40" s="79">
        <f t="shared" si="10"/>
        <v>34497683.145999998</v>
      </c>
      <c r="AE40" s="79">
        <f>AE34*AE24</f>
        <v>5809394.0199999996</v>
      </c>
      <c r="AF40" s="79">
        <f>SUM(U40:AE40)/AF24</f>
        <v>123.55329476726189</v>
      </c>
    </row>
    <row r="41" spans="3:35" ht="14.1" customHeight="1" x14ac:dyDescent="0.2">
      <c r="C41" s="85"/>
      <c r="D41" s="79"/>
      <c r="E41" s="86"/>
      <c r="F41" s="79"/>
      <c r="G41" s="87"/>
      <c r="H41" s="79"/>
      <c r="I41" s="79"/>
      <c r="J41" s="79"/>
      <c r="K41" s="79"/>
      <c r="L41" s="79"/>
      <c r="M41" s="79"/>
      <c r="N41" s="79"/>
      <c r="O41" s="79"/>
      <c r="P41" s="79"/>
      <c r="T41" s="85"/>
      <c r="U41" s="79">
        <f>(U33-U36)*U24</f>
        <v>5018435.8050544737</v>
      </c>
      <c r="V41" s="79">
        <f t="shared" ref="V41:AF41" si="11">(V33-V36)*V24</f>
        <v>6730875.6200000038</v>
      </c>
      <c r="W41" s="79">
        <f t="shared" si="11"/>
        <v>5647926.4117499832</v>
      </c>
      <c r="X41" s="87">
        <f t="shared" si="11"/>
        <v>12938502.509450953</v>
      </c>
      <c r="Y41" s="79">
        <f t="shared" si="11"/>
        <v>4071322.0526315803</v>
      </c>
      <c r="Z41" s="79">
        <f t="shared" si="11"/>
        <v>3998251.5225026314</v>
      </c>
      <c r="AA41" s="79">
        <f t="shared" si="11"/>
        <v>2292292.9358552634</v>
      </c>
      <c r="AB41" s="79">
        <f t="shared" si="11"/>
        <v>5929439.1500000013</v>
      </c>
      <c r="AC41" s="79">
        <f t="shared" si="11"/>
        <v>1382324.8399999999</v>
      </c>
      <c r="AD41" s="79">
        <f t="shared" si="11"/>
        <v>7907053.1797210565</v>
      </c>
      <c r="AE41" s="79">
        <f t="shared" si="11"/>
        <v>2563401.1221052641</v>
      </c>
      <c r="AF41" s="79">
        <f t="shared" si="11"/>
        <v>58517503.150071196</v>
      </c>
    </row>
    <row r="42" spans="3:35" ht="14.1" customHeight="1" x14ac:dyDescent="0.2">
      <c r="C42" s="85"/>
      <c r="D42" s="79"/>
      <c r="E42" s="86"/>
      <c r="F42" s="79"/>
      <c r="G42" s="87"/>
      <c r="H42" s="79"/>
      <c r="I42" s="79"/>
      <c r="J42" s="79"/>
      <c r="K42" s="79"/>
      <c r="L42" s="79"/>
      <c r="M42" s="79"/>
      <c r="N42" s="79"/>
      <c r="O42" s="79"/>
      <c r="P42" s="79"/>
      <c r="T42" s="85"/>
      <c r="U42" s="79"/>
      <c r="V42" s="86"/>
      <c r="W42" s="79" t="s">
        <v>52</v>
      </c>
      <c r="X42" s="87"/>
      <c r="Y42" s="79"/>
      <c r="Z42" s="79"/>
      <c r="AA42" s="79"/>
      <c r="AB42" s="79"/>
      <c r="AC42" s="79"/>
      <c r="AD42" s="79"/>
      <c r="AE42" s="79">
        <f>(AF33-AF36)*AF24</f>
        <v>58517503.150071196</v>
      </c>
      <c r="AF42" s="79">
        <f>((AF33-AF36)*AF24)/1000000</f>
        <v>58.5175031500712</v>
      </c>
    </row>
    <row r="43" spans="3:35" ht="14.1" customHeight="1" x14ac:dyDescent="0.2">
      <c r="C43" s="85"/>
      <c r="D43" s="79"/>
      <c r="E43" s="86"/>
      <c r="F43" s="79"/>
      <c r="G43" s="87"/>
      <c r="H43" s="79"/>
      <c r="I43" s="79"/>
      <c r="J43" s="79"/>
      <c r="K43" s="79"/>
      <c r="L43" s="79"/>
      <c r="M43" s="79"/>
      <c r="N43" s="79"/>
      <c r="O43" s="79"/>
      <c r="P43" s="79"/>
      <c r="T43" s="85"/>
      <c r="U43" s="79"/>
      <c r="V43" s="86"/>
      <c r="W43" s="79"/>
      <c r="X43" s="87"/>
      <c r="Y43" s="79"/>
      <c r="Z43" s="79"/>
      <c r="AA43" s="79"/>
      <c r="AB43" s="79"/>
      <c r="AC43" s="79"/>
      <c r="AD43" s="79"/>
      <c r="AE43" s="79"/>
      <c r="AF43" s="79"/>
    </row>
    <row r="44" spans="3:35" x14ac:dyDescent="0.2">
      <c r="U44" s="61">
        <f t="shared" ref="U44:AC44" si="12">U33-U36</f>
        <v>54.780610101860091</v>
      </c>
      <c r="V44" s="61">
        <f t="shared" si="12"/>
        <v>24.156401214697183</v>
      </c>
      <c r="W44" s="61">
        <f t="shared" si="12"/>
        <v>23.988483049524604</v>
      </c>
      <c r="X44" s="100">
        <f t="shared" si="12"/>
        <v>46.785900300000748</v>
      </c>
      <c r="Y44" s="61">
        <f t="shared" si="12"/>
        <v>24.466565021959156</v>
      </c>
      <c r="Z44" s="61">
        <f t="shared" si="12"/>
        <v>36.546604478301077</v>
      </c>
      <c r="AA44" s="61">
        <f t="shared" si="12"/>
        <v>51.795914381703454</v>
      </c>
      <c r="AB44" s="61">
        <f t="shared" si="12"/>
        <v>29.694082706593719</v>
      </c>
      <c r="AC44" s="61">
        <f t="shared" si="12"/>
        <v>23.379167494695679</v>
      </c>
      <c r="AD44" s="61"/>
      <c r="AE44" s="61"/>
      <c r="AF44" s="61">
        <f>AF33-AF36</f>
        <v>32.781723847436098</v>
      </c>
    </row>
    <row r="45" spans="3:35" x14ac:dyDescent="0.2">
      <c r="U45" s="64">
        <f t="shared" ref="U45:AC45" si="13">U44*U24</f>
        <v>5018435.8050544737</v>
      </c>
      <c r="V45" s="64">
        <f t="shared" si="13"/>
        <v>6730875.6200000038</v>
      </c>
      <c r="W45" s="64">
        <f t="shared" si="13"/>
        <v>5647926.4117499832</v>
      </c>
      <c r="X45" s="101">
        <f t="shared" si="13"/>
        <v>12938502.509450953</v>
      </c>
      <c r="Y45" s="64">
        <f t="shared" si="13"/>
        <v>4071322.0526315803</v>
      </c>
      <c r="Z45" s="64">
        <f t="shared" si="13"/>
        <v>3998251.5225026314</v>
      </c>
      <c r="AA45" s="64">
        <f t="shared" si="13"/>
        <v>2292292.9358552634</v>
      </c>
      <c r="AB45" s="64">
        <f t="shared" si="13"/>
        <v>5929439.1500000013</v>
      </c>
      <c r="AC45" s="64">
        <f t="shared" si="13"/>
        <v>1382324.8399999999</v>
      </c>
      <c r="AD45" s="64"/>
      <c r="AE45" s="77"/>
      <c r="AF45" s="64">
        <f>AF44*AF24</f>
        <v>58517503.150071196</v>
      </c>
    </row>
    <row r="46" spans="3:35" ht="15" x14ac:dyDescent="0.2">
      <c r="D46" s="1" t="s">
        <v>29</v>
      </c>
      <c r="E46" s="1" t="s">
        <v>30</v>
      </c>
      <c r="F46" s="1" t="s">
        <v>31</v>
      </c>
      <c r="G46" s="1" t="s">
        <v>32</v>
      </c>
      <c r="H46" s="1" t="s">
        <v>33</v>
      </c>
      <c r="I46" s="1" t="s">
        <v>34</v>
      </c>
      <c r="AF46" s="64">
        <f>SUM(U45:AC45)</f>
        <v>48009370.847244889</v>
      </c>
    </row>
    <row r="47" spans="3:35" x14ac:dyDescent="0.2">
      <c r="T47" t="s">
        <v>43</v>
      </c>
      <c r="U47">
        <v>157.99892806099743</v>
      </c>
    </row>
    <row r="48" spans="3:35" x14ac:dyDescent="0.2">
      <c r="C48" t="s">
        <v>43</v>
      </c>
      <c r="D48">
        <v>180.20911010186009</v>
      </c>
      <c r="E48">
        <v>138.15640121469718</v>
      </c>
      <c r="F48">
        <v>154.00828044713367</v>
      </c>
      <c r="G48" s="74">
        <v>149.18997458587828</v>
      </c>
      <c r="H48">
        <v>139.93961358602257</v>
      </c>
      <c r="I48">
        <v>158.54560447830107</v>
      </c>
      <c r="T48" t="s">
        <v>44</v>
      </c>
      <c r="U48">
        <v>117.49963791458065</v>
      </c>
      <c r="V48">
        <f>V33/V36</f>
        <v>1.2118982562692735</v>
      </c>
    </row>
    <row r="49" spans="3:33" x14ac:dyDescent="0.2">
      <c r="C49" t="s">
        <v>44</v>
      </c>
      <c r="D49">
        <v>125.4285</v>
      </c>
      <c r="E49">
        <v>114</v>
      </c>
      <c r="F49">
        <v>132.98099999999999</v>
      </c>
      <c r="G49" s="74">
        <v>109.25</v>
      </c>
      <c r="H49">
        <v>114</v>
      </c>
      <c r="I49">
        <v>121.999</v>
      </c>
      <c r="V49" s="64">
        <f>(V33-V36)*V24</f>
        <v>6730875.6200000038</v>
      </c>
      <c r="X49" s="74">
        <f>231710951/1588450</f>
        <v>145.87236047719475</v>
      </c>
      <c r="AF49">
        <f>SUMPRODUCT(U33:AC33,U24:AC24)/SUM(U24:AC24)</f>
        <v>150.05091595401021</v>
      </c>
    </row>
    <row r="51" spans="3:33" ht="15" x14ac:dyDescent="0.2">
      <c r="D51" s="1" t="s">
        <v>29</v>
      </c>
      <c r="E51" s="1" t="s">
        <v>30</v>
      </c>
      <c r="F51" s="1" t="s">
        <v>31</v>
      </c>
      <c r="G51" s="1" t="s">
        <v>32</v>
      </c>
      <c r="H51" s="1" t="s">
        <v>33</v>
      </c>
      <c r="I51" s="1" t="s">
        <v>34</v>
      </c>
      <c r="J51" s="1" t="s">
        <v>35</v>
      </c>
      <c r="K51" s="1" t="s">
        <v>36</v>
      </c>
      <c r="L51" s="1" t="s">
        <v>37</v>
      </c>
      <c r="M51" s="1" t="s">
        <v>38</v>
      </c>
      <c r="N51" s="1" t="s">
        <v>39</v>
      </c>
      <c r="O51" s="1" t="s">
        <v>40</v>
      </c>
      <c r="P51" s="1" t="s">
        <v>41</v>
      </c>
      <c r="U51" s="1" t="s">
        <v>29</v>
      </c>
      <c r="V51" s="1" t="s">
        <v>30</v>
      </c>
      <c r="W51" s="1" t="s">
        <v>31</v>
      </c>
      <c r="X51" s="1" t="s">
        <v>32</v>
      </c>
      <c r="Y51" s="1" t="s">
        <v>33</v>
      </c>
      <c r="Z51" s="1" t="s">
        <v>34</v>
      </c>
      <c r="AA51" s="1" t="s">
        <v>35</v>
      </c>
      <c r="AB51" s="1" t="s">
        <v>36</v>
      </c>
      <c r="AC51" s="1" t="s">
        <v>37</v>
      </c>
      <c r="AD51" s="78"/>
      <c r="AE51" s="78"/>
    </row>
    <row r="52" spans="3:33" x14ac:dyDescent="0.2">
      <c r="C52" t="s">
        <v>43</v>
      </c>
      <c r="D52">
        <v>180.20911010186009</v>
      </c>
      <c r="E52">
        <v>138.15640121469718</v>
      </c>
      <c r="F52">
        <v>154.00828044713367</v>
      </c>
      <c r="G52" s="74">
        <v>149.18997458587828</v>
      </c>
      <c r="H52">
        <v>138.46656502195916</v>
      </c>
      <c r="I52">
        <v>158.54560447830107</v>
      </c>
      <c r="J52">
        <v>163.42091438170345</v>
      </c>
      <c r="K52">
        <v>138.94408270659372</v>
      </c>
      <c r="L52">
        <v>144.97916749469567</v>
      </c>
      <c r="M52">
        <v>175.83590683569409</v>
      </c>
      <c r="N52">
        <v>140.5844486941121</v>
      </c>
      <c r="O52" s="61">
        <f>O30</f>
        <v>132.43072029928541</v>
      </c>
      <c r="U52" s="64">
        <v>15683459.100000001</v>
      </c>
      <c r="V52" s="64">
        <v>38495533.520000003</v>
      </c>
      <c r="W52" s="64">
        <v>42530772.719999991</v>
      </c>
      <c r="X52" s="101">
        <v>42297247.304099314</v>
      </c>
      <c r="Y52" s="64">
        <v>21889255</v>
      </c>
      <c r="Z52" s="64">
        <v>16477863.070000004</v>
      </c>
      <c r="AA52" s="64">
        <v>6870777</v>
      </c>
      <c r="AB52" s="64">
        <v>27744938</v>
      </c>
      <c r="AC52" s="64">
        <v>8572089</v>
      </c>
      <c r="AD52" s="64"/>
      <c r="AE52" s="64"/>
      <c r="AF52">
        <f>SUM(U52:AC52)/SUM(U54:AC54)</f>
        <v>146.18460173967276</v>
      </c>
    </row>
    <row r="53" spans="3:33" x14ac:dyDescent="0.2">
      <c r="C53" t="s">
        <v>44</v>
      </c>
      <c r="D53">
        <v>125.4285</v>
      </c>
      <c r="E53">
        <v>114</v>
      </c>
      <c r="F53">
        <v>132.98099999999999</v>
      </c>
      <c r="G53" s="74">
        <v>109.25</v>
      </c>
      <c r="H53">
        <v>114</v>
      </c>
      <c r="I53">
        <v>121.999</v>
      </c>
      <c r="J53">
        <v>111.625</v>
      </c>
      <c r="K53">
        <v>109.25</v>
      </c>
      <c r="L53">
        <v>121.6</v>
      </c>
      <c r="M53">
        <v>120.65</v>
      </c>
      <c r="N53">
        <v>117.8</v>
      </c>
      <c r="O53">
        <v>87.4</v>
      </c>
      <c r="U53">
        <v>171.19865459676708</v>
      </c>
      <c r="V53">
        <v>138.15640121469718</v>
      </c>
      <c r="W53">
        <v>154.00828044713367</v>
      </c>
      <c r="X53" s="74">
        <v>149.18997458587828</v>
      </c>
      <c r="Y53">
        <v>131.5432367708612</v>
      </c>
      <c r="Z53">
        <v>150.61832425438607</v>
      </c>
      <c r="AA53">
        <v>155.24986866261827</v>
      </c>
      <c r="AB53">
        <v>138.94408270659372</v>
      </c>
      <c r="AC53">
        <v>144.97916749469567</v>
      </c>
    </row>
    <row r="54" spans="3:33" x14ac:dyDescent="0.2">
      <c r="U54" s="64">
        <v>91609.71</v>
      </c>
      <c r="V54" s="64">
        <v>278637.34999999998</v>
      </c>
      <c r="W54" s="64">
        <v>276159</v>
      </c>
      <c r="X54" s="101">
        <v>283512.66512048192</v>
      </c>
      <c r="Y54" s="64">
        <v>166403.5</v>
      </c>
      <c r="Z54" s="64">
        <v>109401.45</v>
      </c>
      <c r="AA54" s="64">
        <v>44256.25</v>
      </c>
      <c r="AB54" s="64">
        <v>199684.19999999998</v>
      </c>
      <c r="AC54" s="64">
        <v>59126.35</v>
      </c>
      <c r="AD54" s="64"/>
      <c r="AE54" s="64"/>
    </row>
    <row r="55" spans="3:33" ht="15" x14ac:dyDescent="0.2">
      <c r="D55" s="1" t="s">
        <v>29</v>
      </c>
      <c r="E55" s="1" t="s">
        <v>30</v>
      </c>
      <c r="F55" s="1" t="s">
        <v>31</v>
      </c>
      <c r="G55" s="1" t="s">
        <v>32</v>
      </c>
      <c r="H55" s="1" t="s">
        <v>33</v>
      </c>
      <c r="I55" s="1" t="s">
        <v>34</v>
      </c>
      <c r="J55" s="1" t="s">
        <v>35</v>
      </c>
      <c r="K55" s="1" t="s">
        <v>36</v>
      </c>
      <c r="L55" s="1" t="s">
        <v>37</v>
      </c>
      <c r="M55" s="1" t="s">
        <v>38</v>
      </c>
      <c r="N55" s="1" t="s">
        <v>39</v>
      </c>
      <c r="P55" s="1" t="s">
        <v>41</v>
      </c>
      <c r="U55">
        <f>U52/U54</f>
        <v>171.19865459676708</v>
      </c>
      <c r="V55">
        <f t="shared" ref="V55:AC55" si="14">V52/V54</f>
        <v>138.15640121469718</v>
      </c>
      <c r="W55">
        <f t="shared" si="14"/>
        <v>154.00828044713367</v>
      </c>
      <c r="X55" s="74">
        <f t="shared" si="14"/>
        <v>149.18997458587828</v>
      </c>
      <c r="Y55">
        <f t="shared" si="14"/>
        <v>131.5432367708612</v>
      </c>
      <c r="Z55">
        <f t="shared" si="14"/>
        <v>150.61832425438607</v>
      </c>
      <c r="AA55">
        <f t="shared" si="14"/>
        <v>155.24986866261827</v>
      </c>
      <c r="AB55">
        <f t="shared" si="14"/>
        <v>138.94408270659372</v>
      </c>
      <c r="AC55">
        <f t="shared" si="14"/>
        <v>144.97916749469567</v>
      </c>
      <c r="AF55">
        <f>SUMPRODUCT(U55:AC55,U54:AC54)/SUM(U54:AC54)</f>
        <v>146.18460173967276</v>
      </c>
    </row>
    <row r="56" spans="3:33" x14ac:dyDescent="0.2">
      <c r="C56" t="s">
        <v>43</v>
      </c>
      <c r="D56">
        <v>180.20911010186001</v>
      </c>
      <c r="E56">
        <v>138.15640121469718</v>
      </c>
      <c r="F56">
        <v>154.00828044713367</v>
      </c>
      <c r="G56" s="74">
        <v>149.18997458587828</v>
      </c>
      <c r="H56">
        <v>138.46656502195916</v>
      </c>
      <c r="I56">
        <v>158.54560447830107</v>
      </c>
      <c r="J56">
        <v>163.42091438170345</v>
      </c>
      <c r="K56">
        <v>138.94408270659372</v>
      </c>
      <c r="L56">
        <v>144.97916749469567</v>
      </c>
      <c r="M56">
        <v>175.83590683569409</v>
      </c>
      <c r="N56">
        <v>140.5844486941121</v>
      </c>
      <c r="U56">
        <f>U55/0.95</f>
        <v>180.20911010186009</v>
      </c>
      <c r="X56" s="74">
        <f t="shared" ref="X56:AA56" si="15">X55/0.95</f>
        <v>157.04207851145082</v>
      </c>
      <c r="Y56">
        <f t="shared" si="15"/>
        <v>138.46656502195916</v>
      </c>
      <c r="Z56">
        <f t="shared" si="15"/>
        <v>158.54560447830113</v>
      </c>
      <c r="AA56">
        <f t="shared" si="15"/>
        <v>163.42091438170345</v>
      </c>
    </row>
    <row r="57" spans="3:33" x14ac:dyDescent="0.2">
      <c r="C57" t="s">
        <v>44</v>
      </c>
      <c r="D57">
        <v>125.4285</v>
      </c>
      <c r="E57">
        <v>114</v>
      </c>
      <c r="F57">
        <v>132.98099999999999</v>
      </c>
      <c r="G57" s="74">
        <v>109.25</v>
      </c>
      <c r="H57">
        <v>114</v>
      </c>
      <c r="I57">
        <v>121.999</v>
      </c>
      <c r="J57">
        <v>111.625</v>
      </c>
      <c r="K57">
        <v>109.25</v>
      </c>
      <c r="L57">
        <v>121.6</v>
      </c>
      <c r="M57">
        <v>120.65</v>
      </c>
      <c r="N57">
        <v>117.8</v>
      </c>
      <c r="U57">
        <f>IF(U18=0,U23/0.95,U23)</f>
        <v>180.20911010186009</v>
      </c>
      <c r="V57">
        <f t="shared" ref="V57:AC57" si="16">IF(V18=0,V23/0.95,V23)</f>
        <v>138.15640121469718</v>
      </c>
      <c r="W57">
        <f t="shared" si="16"/>
        <v>156.9694830495246</v>
      </c>
      <c r="X57" s="74">
        <f t="shared" si="16"/>
        <v>156.72940030000075</v>
      </c>
      <c r="Y57">
        <f t="shared" si="16"/>
        <v>138.46656502195916</v>
      </c>
      <c r="Z57">
        <f t="shared" si="16"/>
        <v>158.54560447830107</v>
      </c>
      <c r="AA57">
        <f t="shared" si="16"/>
        <v>163.42091438170345</v>
      </c>
      <c r="AB57">
        <f t="shared" si="16"/>
        <v>138.94408270659372</v>
      </c>
      <c r="AC57">
        <f t="shared" si="16"/>
        <v>144.97916749469567</v>
      </c>
    </row>
    <row r="58" spans="3:33" x14ac:dyDescent="0.2">
      <c r="U58">
        <f>U57-U55</f>
        <v>9.010455505093006</v>
      </c>
      <c r="V58">
        <f t="shared" ref="V58:AC58" si="17">V57-V55</f>
        <v>0</v>
      </c>
      <c r="W58">
        <f t="shared" si="17"/>
        <v>2.9612026023909266</v>
      </c>
      <c r="X58" s="74">
        <f t="shared" si="17"/>
        <v>7.5394257141224728</v>
      </c>
      <c r="Y58">
        <f t="shared" si="17"/>
        <v>6.9233282510979564</v>
      </c>
      <c r="Z58">
        <f t="shared" si="17"/>
        <v>7.9272802239150053</v>
      </c>
      <c r="AA58">
        <f t="shared" si="17"/>
        <v>8.1710457190851855</v>
      </c>
      <c r="AB58">
        <f t="shared" si="17"/>
        <v>0</v>
      </c>
      <c r="AC58">
        <f t="shared" si="17"/>
        <v>0</v>
      </c>
    </row>
    <row r="59" spans="3:33" x14ac:dyDescent="0.2">
      <c r="U59">
        <f>U24*U58</f>
        <v>825445.21578947385</v>
      </c>
      <c r="V59">
        <f t="shared" ref="V59:AC59" si="18">V24*V58</f>
        <v>0</v>
      </c>
      <c r="W59">
        <f t="shared" si="18"/>
        <v>697195.16461537755</v>
      </c>
      <c r="X59" s="74">
        <f t="shared" si="18"/>
        <v>2085005.9076877721</v>
      </c>
      <c r="Y59">
        <f t="shared" si="18"/>
        <v>1152066.0526315789</v>
      </c>
      <c r="Z59">
        <f t="shared" si="18"/>
        <v>867255.95105262625</v>
      </c>
      <c r="AA59">
        <f t="shared" si="18"/>
        <v>361619.84210526373</v>
      </c>
      <c r="AB59">
        <f t="shared" si="18"/>
        <v>0</v>
      </c>
      <c r="AC59">
        <f t="shared" si="18"/>
        <v>0</v>
      </c>
    </row>
    <row r="60" spans="3:33" x14ac:dyDescent="0.2">
      <c r="U60" s="64">
        <f>U59+U22</f>
        <v>16508904.315789476</v>
      </c>
      <c r="V60" s="64">
        <f t="shared" ref="V60:AC60" si="19">V59+V22</f>
        <v>38495533.520000003</v>
      </c>
      <c r="W60" s="64">
        <f t="shared" si="19"/>
        <v>37654600.404615358</v>
      </c>
      <c r="X60" s="101">
        <f t="shared" si="19"/>
        <v>43260905.907029167</v>
      </c>
      <c r="Y60" s="64">
        <f t="shared" si="19"/>
        <v>23041321.052631579</v>
      </c>
      <c r="Z60" s="64">
        <f t="shared" si="19"/>
        <v>17345119.021052625</v>
      </c>
      <c r="AA60" s="64">
        <f t="shared" si="19"/>
        <v>7232396.8421052638</v>
      </c>
      <c r="AB60" s="64">
        <f t="shared" si="19"/>
        <v>27744938</v>
      </c>
      <c r="AC60" s="64">
        <f t="shared" si="19"/>
        <v>8572089</v>
      </c>
      <c r="AD60" s="64"/>
      <c r="AE60" s="64"/>
      <c r="AF60" s="64">
        <f>SUM(U60:AC60)</f>
        <v>219855808.06322348</v>
      </c>
    </row>
    <row r="61" spans="3:33" x14ac:dyDescent="0.2">
      <c r="U61" s="61">
        <f>U33-U36</f>
        <v>54.780610101860091</v>
      </c>
      <c r="V61" s="61">
        <f t="shared" ref="V61:AC61" si="20">V33-V36</f>
        <v>24.156401214697183</v>
      </c>
      <c r="W61" s="61">
        <f t="shared" si="20"/>
        <v>23.988483049524604</v>
      </c>
      <c r="X61" s="100">
        <f t="shared" si="20"/>
        <v>46.785900300000748</v>
      </c>
      <c r="Y61" s="61">
        <f t="shared" si="20"/>
        <v>24.466565021959156</v>
      </c>
      <c r="Z61" s="61">
        <f t="shared" si="20"/>
        <v>36.546604478301077</v>
      </c>
      <c r="AA61" s="61">
        <f t="shared" si="20"/>
        <v>51.795914381703454</v>
      </c>
      <c r="AB61" s="61">
        <f t="shared" si="20"/>
        <v>29.694082706593719</v>
      </c>
      <c r="AC61" s="61">
        <f t="shared" si="20"/>
        <v>23.379167494695679</v>
      </c>
      <c r="AD61" s="61">
        <f>AD33-AD36</f>
        <v>28.669003872921991</v>
      </c>
      <c r="AE61" s="61">
        <f t="shared" ref="AE61" si="21">AE33-AE36</f>
        <v>53.236937332407024</v>
      </c>
      <c r="AF61">
        <f>AF60/SUM(U54:AC54)</f>
        <v>145.71659331668783</v>
      </c>
    </row>
    <row r="62" spans="3:33" x14ac:dyDescent="0.2">
      <c r="U62">
        <f t="shared" ref="U62:AE62" si="22">U61*U24</f>
        <v>5018435.8050544737</v>
      </c>
      <c r="V62">
        <f t="shared" si="22"/>
        <v>6730875.6200000038</v>
      </c>
      <c r="W62">
        <f t="shared" si="22"/>
        <v>5647926.4117499832</v>
      </c>
      <c r="X62" s="74">
        <f t="shared" si="22"/>
        <v>12938502.509450953</v>
      </c>
      <c r="Y62">
        <f t="shared" si="22"/>
        <v>4071322.0526315803</v>
      </c>
      <c r="Z62">
        <f t="shared" si="22"/>
        <v>3998251.5225026314</v>
      </c>
      <c r="AA62">
        <f t="shared" si="22"/>
        <v>2292292.9358552634</v>
      </c>
      <c r="AB62">
        <f t="shared" si="22"/>
        <v>5929439.1500000013</v>
      </c>
      <c r="AC62">
        <f t="shared" si="22"/>
        <v>1382324.8399999999</v>
      </c>
      <c r="AD62">
        <f t="shared" si="22"/>
        <v>7907053.1797210565</v>
      </c>
      <c r="AE62">
        <f t="shared" si="22"/>
        <v>2563401.1221052641</v>
      </c>
      <c r="AF62">
        <f>AF61/AF36</f>
        <v>1.241455260183151</v>
      </c>
      <c r="AG62" s="64">
        <f>SUM(U62:AE62)</f>
        <v>58479825.149071209</v>
      </c>
    </row>
    <row r="63" spans="3:33" x14ac:dyDescent="0.2">
      <c r="AG63" s="84">
        <f>AG62/1000000</f>
        <v>58.47982514907121</v>
      </c>
    </row>
    <row r="65" spans="16:32" ht="15" x14ac:dyDescent="0.2">
      <c r="U65" s="1" t="s">
        <v>29</v>
      </c>
      <c r="V65" s="1" t="s">
        <v>30</v>
      </c>
      <c r="W65" s="1" t="s">
        <v>31</v>
      </c>
      <c r="X65" s="1" t="s">
        <v>32</v>
      </c>
      <c r="Y65" s="1" t="s">
        <v>33</v>
      </c>
      <c r="Z65" s="1" t="s">
        <v>34</v>
      </c>
      <c r="AA65" s="1" t="s">
        <v>35</v>
      </c>
      <c r="AB65" s="1" t="s">
        <v>36</v>
      </c>
      <c r="AC65" s="1" t="s">
        <v>37</v>
      </c>
      <c r="AD65" s="1" t="s">
        <v>51</v>
      </c>
      <c r="AE65" s="1" t="s">
        <v>50</v>
      </c>
    </row>
    <row r="66" spans="16:32" ht="15" x14ac:dyDescent="0.2">
      <c r="T66" t="s">
        <v>47</v>
      </c>
      <c r="U66" s="26">
        <f>U33</f>
        <v>180.20911010186009</v>
      </c>
      <c r="V66" s="26">
        <f t="shared" ref="V66:AE66" si="23">V33</f>
        <v>138.15640121469718</v>
      </c>
      <c r="W66" s="26">
        <f t="shared" si="23"/>
        <v>156.9694830495246</v>
      </c>
      <c r="X66" s="26">
        <f t="shared" si="23"/>
        <v>156.72940030000075</v>
      </c>
      <c r="Y66" s="26">
        <f t="shared" si="23"/>
        <v>138.46656502195916</v>
      </c>
      <c r="Z66" s="26">
        <f t="shared" si="23"/>
        <v>158.54560447830107</v>
      </c>
      <c r="AA66" s="26">
        <f t="shared" si="23"/>
        <v>163.42091438170345</v>
      </c>
      <c r="AB66" s="26">
        <f t="shared" si="23"/>
        <v>138.94408270659372</v>
      </c>
      <c r="AC66" s="26">
        <f t="shared" si="23"/>
        <v>144.97916749469567</v>
      </c>
      <c r="AD66" s="26">
        <f t="shared" si="23"/>
        <v>147.49500387292198</v>
      </c>
      <c r="AE66" s="26">
        <f t="shared" si="23"/>
        <v>168.63693733240703</v>
      </c>
    </row>
    <row r="67" spans="16:32" ht="15" x14ac:dyDescent="0.2">
      <c r="T67" t="s">
        <v>44</v>
      </c>
      <c r="U67" s="30">
        <f>U36</f>
        <v>125.4285</v>
      </c>
      <c r="V67" s="30">
        <f t="shared" ref="V67:AE67" si="24">V36</f>
        <v>114</v>
      </c>
      <c r="W67" s="30">
        <f t="shared" si="24"/>
        <v>132.98099999999999</v>
      </c>
      <c r="X67" s="73">
        <f t="shared" si="24"/>
        <v>109.9435</v>
      </c>
      <c r="Y67" s="30">
        <f t="shared" si="24"/>
        <v>114</v>
      </c>
      <c r="Z67" s="30">
        <f t="shared" si="24"/>
        <v>121.999</v>
      </c>
      <c r="AA67" s="30">
        <f t="shared" si="24"/>
        <v>111.625</v>
      </c>
      <c r="AB67" s="30">
        <f t="shared" si="24"/>
        <v>109.25</v>
      </c>
      <c r="AC67" s="30">
        <f t="shared" si="24"/>
        <v>121.6</v>
      </c>
      <c r="AD67" s="30">
        <f t="shared" si="24"/>
        <v>118.82599999999999</v>
      </c>
      <c r="AE67" s="30">
        <f t="shared" si="24"/>
        <v>115.4</v>
      </c>
    </row>
    <row r="68" spans="16:32" x14ac:dyDescent="0.2">
      <c r="U68" t="b">
        <f t="shared" ref="U68:AD69" si="25">U33=U66</f>
        <v>1</v>
      </c>
      <c r="V68" t="b">
        <f t="shared" si="25"/>
        <v>1</v>
      </c>
      <c r="W68" t="b">
        <f t="shared" si="25"/>
        <v>1</v>
      </c>
      <c r="X68" t="b">
        <f t="shared" si="25"/>
        <v>1</v>
      </c>
      <c r="Y68" t="b">
        <f t="shared" si="25"/>
        <v>1</v>
      </c>
      <c r="Z68" t="b">
        <f t="shared" si="25"/>
        <v>1</v>
      </c>
      <c r="AA68" t="b">
        <f t="shared" si="25"/>
        <v>1</v>
      </c>
      <c r="AB68" t="b">
        <f t="shared" si="25"/>
        <v>1</v>
      </c>
      <c r="AC68" t="b">
        <f t="shared" si="25"/>
        <v>1</v>
      </c>
      <c r="AD68" t="b">
        <f t="shared" si="25"/>
        <v>1</v>
      </c>
      <c r="AE68" t="b">
        <f>AE33=AE66</f>
        <v>1</v>
      </c>
    </row>
    <row r="69" spans="16:32" ht="15" x14ac:dyDescent="0.2">
      <c r="P69" s="1" t="s">
        <v>40</v>
      </c>
      <c r="U69" t="b">
        <f t="shared" ref="U69:AD69" si="26">U36=U67</f>
        <v>1</v>
      </c>
      <c r="V69" t="b">
        <f t="shared" si="26"/>
        <v>1</v>
      </c>
      <c r="W69" t="b">
        <f t="shared" si="26"/>
        <v>1</v>
      </c>
      <c r="X69" t="b">
        <f t="shared" si="26"/>
        <v>1</v>
      </c>
      <c r="Y69" t="b">
        <f t="shared" si="26"/>
        <v>1</v>
      </c>
      <c r="Z69" t="b">
        <f t="shared" si="26"/>
        <v>1</v>
      </c>
      <c r="AA69" t="b">
        <f t="shared" si="26"/>
        <v>1</v>
      </c>
      <c r="AB69" t="b">
        <f t="shared" si="26"/>
        <v>1</v>
      </c>
      <c r="AC69" t="b">
        <f t="shared" si="26"/>
        <v>1</v>
      </c>
      <c r="AD69" t="b">
        <f t="shared" si="26"/>
        <v>1</v>
      </c>
      <c r="AE69" t="b">
        <f>AE36=AE67</f>
        <v>1</v>
      </c>
      <c r="AF69">
        <f>SUM(U32:AE32)/SUM(U24:AE24)</f>
        <v>150.15735387633489</v>
      </c>
    </row>
    <row r="70" spans="16:32" x14ac:dyDescent="0.2">
      <c r="P70" s="61">
        <f>O35</f>
        <v>-4.6000000000000005</v>
      </c>
      <c r="AF70" s="61">
        <f>AF36</f>
        <v>117.3756300288988</v>
      </c>
    </row>
    <row r="71" spans="16:32" x14ac:dyDescent="0.2">
      <c r="P71">
        <v>87.4</v>
      </c>
      <c r="AF71">
        <f>AF69/AF70</f>
        <v>1.2792890128842331</v>
      </c>
    </row>
    <row r="72" spans="16:32" x14ac:dyDescent="0.2">
      <c r="AF72" s="77">
        <f>AF71-1</f>
        <v>0.27928901288423313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2C66E-B5EE-496C-8235-AA137215218D}">
  <dimension ref="C2:AL72"/>
  <sheetViews>
    <sheetView showGridLines="0" topLeftCell="T1" zoomScaleNormal="100" workbookViewId="0">
      <selection activeCell="X33" sqref="X33"/>
    </sheetView>
  </sheetViews>
  <sheetFormatPr defaultRowHeight="14.25" x14ac:dyDescent="0.2"/>
  <cols>
    <col min="3" max="3" width="55.625" customWidth="1"/>
    <col min="4" max="4" width="11.875" customWidth="1"/>
    <col min="5" max="6" width="10.25" customWidth="1"/>
    <col min="7" max="7" width="10.25" style="74" customWidth="1"/>
    <col min="8" max="15" width="10.25" customWidth="1"/>
    <col min="16" max="16" width="10.625" customWidth="1"/>
    <col min="17" max="19" width="9" customWidth="1"/>
    <col min="20" max="20" width="35.75" customWidth="1"/>
    <col min="21" max="33" width="10.375" customWidth="1"/>
    <col min="34" max="34" width="12.375" customWidth="1"/>
    <col min="35" max="35" width="9.875" bestFit="1" customWidth="1"/>
    <col min="37" max="37" width="12" bestFit="1" customWidth="1"/>
  </cols>
  <sheetData>
    <row r="2" spans="3:35" x14ac:dyDescent="0.2">
      <c r="U2" s="77">
        <f>(U33/U36)-1</f>
        <v>0.43674770966614518</v>
      </c>
      <c r="V2" s="77">
        <f>(V33/V36)-1</f>
        <v>0.2118982562692735</v>
      </c>
      <c r="W2" s="77">
        <f t="shared" ref="W2:AH2" si="0">(W33/W36)-1</f>
        <v>0.18039030425041624</v>
      </c>
      <c r="X2" s="77">
        <f t="shared" si="0"/>
        <v>0.42554494172007207</v>
      </c>
      <c r="Y2" s="77">
        <f t="shared" si="0"/>
        <v>0.2146189914206944</v>
      </c>
      <c r="Z2" s="77">
        <f t="shared" si="0"/>
        <v>0.29956478723842883</v>
      </c>
      <c r="AA2" s="77">
        <f t="shared" si="0"/>
        <v>0.46401715011604439</v>
      </c>
      <c r="AB2" s="77">
        <f t="shared" si="0"/>
        <v>0.27179938404204784</v>
      </c>
      <c r="AC2" s="77">
        <f t="shared" si="0"/>
        <v>0.19226289058137902</v>
      </c>
      <c r="AD2" s="77">
        <f t="shared" si="0"/>
        <v>0.45740494683542554</v>
      </c>
      <c r="AE2" s="77">
        <f t="shared" si="0"/>
        <v>0.19341637261555267</v>
      </c>
      <c r="AF2" s="77">
        <f t="shared" si="0"/>
        <v>0.2412687784905827</v>
      </c>
      <c r="AG2" s="77">
        <f t="shared" si="0"/>
        <v>0.46132528017683727</v>
      </c>
      <c r="AH2" s="77">
        <f t="shared" si="0"/>
        <v>0.27780616513145096</v>
      </c>
    </row>
    <row r="3" spans="3:35" ht="15" x14ac:dyDescent="0.25">
      <c r="T3" s="80" t="s">
        <v>49</v>
      </c>
      <c r="U3" s="81">
        <v>5</v>
      </c>
      <c r="V3" s="81">
        <v>15</v>
      </c>
      <c r="W3" s="81">
        <v>15</v>
      </c>
      <c r="X3" s="81">
        <v>20</v>
      </c>
      <c r="Y3" s="81">
        <v>10</v>
      </c>
      <c r="Z3" s="81">
        <v>4</v>
      </c>
      <c r="AA3" s="81">
        <v>6</v>
      </c>
      <c r="AB3" s="81">
        <v>9</v>
      </c>
      <c r="AC3" s="81">
        <v>6</v>
      </c>
      <c r="AD3" s="81">
        <v>2</v>
      </c>
      <c r="AE3" s="81">
        <v>5</v>
      </c>
      <c r="AF3" s="81">
        <v>8</v>
      </c>
      <c r="AG3" s="81">
        <v>3</v>
      </c>
      <c r="AH3" s="81">
        <f>SUM(U3:AG3)</f>
        <v>108</v>
      </c>
    </row>
    <row r="4" spans="3:35" ht="15" x14ac:dyDescent="0.25">
      <c r="T4" s="80" t="s">
        <v>48</v>
      </c>
      <c r="U4" s="81">
        <v>1</v>
      </c>
      <c r="V4" s="81">
        <v>7</v>
      </c>
      <c r="W4" s="81">
        <v>3</v>
      </c>
      <c r="X4" s="81">
        <v>8</v>
      </c>
      <c r="Y4" s="81">
        <v>1</v>
      </c>
      <c r="Z4" s="81">
        <v>1</v>
      </c>
      <c r="AA4" s="81">
        <v>1</v>
      </c>
      <c r="AB4" s="81">
        <v>1</v>
      </c>
      <c r="AC4" s="81">
        <v>1</v>
      </c>
      <c r="AD4" s="81">
        <v>1</v>
      </c>
      <c r="AE4" s="81">
        <v>1</v>
      </c>
      <c r="AF4" s="81"/>
      <c r="AG4" s="81"/>
      <c r="AH4" s="81">
        <f>SUM(U4:AE4)</f>
        <v>26</v>
      </c>
    </row>
    <row r="5" spans="3:35" ht="15" x14ac:dyDescent="0.2">
      <c r="C5" s="1" t="s">
        <v>0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33</v>
      </c>
      <c r="I5" s="1" t="s">
        <v>34</v>
      </c>
      <c r="J5" s="1" t="s">
        <v>35</v>
      </c>
      <c r="K5" s="1" t="s">
        <v>36</v>
      </c>
      <c r="L5" s="1" t="s">
        <v>37</v>
      </c>
      <c r="M5" s="1" t="s">
        <v>38</v>
      </c>
      <c r="N5" s="1" t="s">
        <v>39</v>
      </c>
      <c r="O5" s="1" t="s">
        <v>40</v>
      </c>
      <c r="P5" s="1" t="s">
        <v>41</v>
      </c>
      <c r="T5" s="1" t="s">
        <v>0</v>
      </c>
      <c r="U5" s="1" t="s">
        <v>29</v>
      </c>
      <c r="V5" s="1" t="s">
        <v>30</v>
      </c>
      <c r="W5" s="1" t="s">
        <v>31</v>
      </c>
      <c r="X5" s="1" t="s">
        <v>32</v>
      </c>
      <c r="Y5" s="1" t="s">
        <v>33</v>
      </c>
      <c r="Z5" s="1" t="s">
        <v>34</v>
      </c>
      <c r="AA5" s="1" t="s">
        <v>35</v>
      </c>
      <c r="AB5" s="1" t="s">
        <v>36</v>
      </c>
      <c r="AC5" s="1" t="s">
        <v>37</v>
      </c>
      <c r="AD5" s="59" t="s">
        <v>38</v>
      </c>
      <c r="AE5" s="59" t="s">
        <v>39</v>
      </c>
      <c r="AF5" s="1" t="s">
        <v>51</v>
      </c>
      <c r="AG5" s="1" t="s">
        <v>50</v>
      </c>
      <c r="AH5" s="1" t="s">
        <v>41</v>
      </c>
    </row>
    <row r="6" spans="3:35" ht="14.1" customHeight="1" x14ac:dyDescent="0.2">
      <c r="C6" s="2" t="s">
        <v>1</v>
      </c>
      <c r="D6" s="52">
        <v>258.74794520547948</v>
      </c>
      <c r="E6" s="52">
        <v>787</v>
      </c>
      <c r="F6" s="52">
        <v>780</v>
      </c>
      <c r="G6" s="52">
        <v>831</v>
      </c>
      <c r="H6" s="52">
        <v>470</v>
      </c>
      <c r="I6" s="52">
        <v>309</v>
      </c>
      <c r="J6" s="52">
        <v>125</v>
      </c>
      <c r="K6" s="52">
        <v>564</v>
      </c>
      <c r="L6" s="52">
        <v>167</v>
      </c>
      <c r="M6" s="52">
        <v>43</v>
      </c>
      <c r="N6" s="52">
        <v>182</v>
      </c>
      <c r="O6" s="52">
        <v>158</v>
      </c>
      <c r="P6" s="53">
        <f>SUM(D6:O6)</f>
        <v>4674.7479452054795</v>
      </c>
      <c r="T6" s="2" t="s">
        <v>1</v>
      </c>
      <c r="U6" s="52">
        <v>258.74794520547948</v>
      </c>
      <c r="V6" s="52">
        <v>787</v>
      </c>
      <c r="W6" s="52">
        <v>665</v>
      </c>
      <c r="X6" s="52">
        <v>811</v>
      </c>
      <c r="Y6" s="52">
        <v>470</v>
      </c>
      <c r="Z6" s="52">
        <v>309</v>
      </c>
      <c r="AA6" s="52">
        <v>125</v>
      </c>
      <c r="AB6" s="52">
        <v>564</v>
      </c>
      <c r="AC6" s="52">
        <v>167</v>
      </c>
      <c r="AD6" s="52">
        <v>43</v>
      </c>
      <c r="AE6" s="52">
        <v>182</v>
      </c>
      <c r="AF6" s="52">
        <v>779</v>
      </c>
      <c r="AG6" s="52">
        <v>136</v>
      </c>
      <c r="AH6" s="53">
        <f t="shared" ref="AH6:AH7" si="1">SUM(U6:AG6)</f>
        <v>5296.7479452054795</v>
      </c>
    </row>
    <row r="7" spans="3:35" ht="14.1" customHeight="1" x14ac:dyDescent="0.2">
      <c r="C7" s="54" t="s">
        <v>42</v>
      </c>
      <c r="D7" s="55"/>
      <c r="E7" s="55">
        <v>3</v>
      </c>
      <c r="F7" s="55">
        <v>45</v>
      </c>
      <c r="G7" s="55">
        <v>41</v>
      </c>
      <c r="H7" s="55"/>
      <c r="I7" s="55"/>
      <c r="J7" s="55"/>
      <c r="K7" s="55">
        <v>53</v>
      </c>
      <c r="L7" s="55"/>
      <c r="M7" s="55">
        <v>2</v>
      </c>
      <c r="N7" s="55">
        <v>13</v>
      </c>
      <c r="O7" s="55">
        <v>14</v>
      </c>
      <c r="P7" s="53">
        <f>SUM(D7:O7)</f>
        <v>171</v>
      </c>
      <c r="T7" s="54" t="s">
        <v>42</v>
      </c>
      <c r="U7" s="55"/>
      <c r="V7" s="55">
        <v>3</v>
      </c>
      <c r="W7" s="55">
        <v>44</v>
      </c>
      <c r="X7" s="55">
        <v>41</v>
      </c>
      <c r="Y7" s="55"/>
      <c r="Z7" s="55"/>
      <c r="AA7" s="55"/>
      <c r="AB7" s="55">
        <v>53</v>
      </c>
      <c r="AC7" s="55"/>
      <c r="AD7" s="55">
        <v>2</v>
      </c>
      <c r="AE7" s="55">
        <v>13</v>
      </c>
      <c r="AF7" s="82">
        <v>0.57594801026957643</v>
      </c>
      <c r="AG7" s="55">
        <v>0.62308823529411805</v>
      </c>
      <c r="AH7" s="53">
        <f t="shared" si="1"/>
        <v>157.19903624556369</v>
      </c>
    </row>
    <row r="8" spans="3:35" ht="14.1" customHeight="1" x14ac:dyDescent="0.2">
      <c r="C8" s="3" t="s">
        <v>2</v>
      </c>
      <c r="D8" s="36">
        <v>11867145.340000002</v>
      </c>
      <c r="E8" s="36">
        <v>25661050.430000003</v>
      </c>
      <c r="F8" s="36">
        <v>30026702.059999991</v>
      </c>
      <c r="G8" s="65">
        <v>30914814.700987164</v>
      </c>
      <c r="H8" s="36">
        <v>16768696</v>
      </c>
      <c r="I8" s="36">
        <v>13557541</v>
      </c>
      <c r="J8" s="36">
        <v>4914572</v>
      </c>
      <c r="K8" s="36">
        <v>20246946</v>
      </c>
      <c r="L8" s="36">
        <v>6432828</v>
      </c>
      <c r="M8" s="36">
        <v>1686175.54</v>
      </c>
      <c r="N8" s="36">
        <v>6917175.0300000003</v>
      </c>
      <c r="O8" s="36">
        <v>5838517.1000000006</v>
      </c>
      <c r="P8" s="37">
        <f t="shared" ref="P8:P21" si="2">SUM(D8:O8)</f>
        <v>174832163.20098713</v>
      </c>
      <c r="T8" s="3" t="s">
        <v>2</v>
      </c>
      <c r="U8" s="36">
        <v>11867145.340000002</v>
      </c>
      <c r="V8" s="36">
        <v>25661050.430000003</v>
      </c>
      <c r="W8" s="36">
        <v>25948557.269999992</v>
      </c>
      <c r="X8" s="65">
        <v>30094196.213602137</v>
      </c>
      <c r="Y8" s="36">
        <v>16768696</v>
      </c>
      <c r="Z8" s="36">
        <v>13557541</v>
      </c>
      <c r="AA8" s="36">
        <v>4914572</v>
      </c>
      <c r="AB8" s="36">
        <v>20246946</v>
      </c>
      <c r="AC8" s="36">
        <v>6432828</v>
      </c>
      <c r="AD8" s="36">
        <v>1686175.54</v>
      </c>
      <c r="AE8" s="36">
        <v>6917175.0300000003</v>
      </c>
      <c r="AF8" s="36">
        <v>28085230.550000001</v>
      </c>
      <c r="AG8" s="36">
        <v>5944692.79</v>
      </c>
      <c r="AH8" s="37">
        <f>SUM(U8:AG8)</f>
        <v>198124806.16360214</v>
      </c>
      <c r="AI8">
        <f>AH8/AH22</f>
        <v>0.73007463446843535</v>
      </c>
    </row>
    <row r="9" spans="3:35" ht="14.1" customHeight="1" x14ac:dyDescent="0.2">
      <c r="C9" s="4" t="s">
        <v>3</v>
      </c>
      <c r="D9" s="38">
        <v>398980.74</v>
      </c>
      <c r="E9" s="38">
        <v>308550.15000000014</v>
      </c>
      <c r="F9" s="38">
        <v>215398.27999999817</v>
      </c>
      <c r="G9" s="42">
        <v>2668631.4330894961</v>
      </c>
      <c r="H9" s="38">
        <v>308247</v>
      </c>
      <c r="I9" s="38">
        <v>518121.76</v>
      </c>
      <c r="J9" s="38">
        <v>329593</v>
      </c>
      <c r="K9" s="38">
        <v>1046558</v>
      </c>
      <c r="L9" s="38">
        <v>306534</v>
      </c>
      <c r="M9" s="38">
        <v>486423.69000000006</v>
      </c>
      <c r="N9" s="38">
        <v>124745.60999999996</v>
      </c>
      <c r="O9" s="38">
        <v>192265.14</v>
      </c>
      <c r="P9" s="39">
        <f t="shared" si="2"/>
        <v>6904048.8030894948</v>
      </c>
      <c r="T9" s="4" t="s">
        <v>3</v>
      </c>
      <c r="U9" s="38">
        <v>398980.74</v>
      </c>
      <c r="V9" s="38">
        <v>308550.15000000014</v>
      </c>
      <c r="W9" s="38">
        <v>182529.57999999833</v>
      </c>
      <c r="X9" s="42">
        <v>2603050.3689682428</v>
      </c>
      <c r="Y9" s="38">
        <v>308247</v>
      </c>
      <c r="Z9" s="38">
        <v>518121.76</v>
      </c>
      <c r="AA9" s="38">
        <v>329593</v>
      </c>
      <c r="AB9" s="38">
        <v>1046558</v>
      </c>
      <c r="AC9" s="38">
        <v>306534</v>
      </c>
      <c r="AD9" s="38">
        <v>486423.69000000006</v>
      </c>
      <c r="AE9" s="38">
        <v>124745.60999999996</v>
      </c>
      <c r="AF9" s="38">
        <v>823039.73999999953</v>
      </c>
      <c r="AG9" s="38">
        <v>166259.88999999998</v>
      </c>
      <c r="AH9" s="39">
        <f t="shared" ref="AH9:AH17" si="3">SUM(U9:AG9)</f>
        <v>7602633.5289682411</v>
      </c>
    </row>
    <row r="10" spans="3:35" ht="14.1" customHeight="1" x14ac:dyDescent="0.2">
      <c r="C10" s="5" t="s">
        <v>4</v>
      </c>
      <c r="D10" s="40">
        <v>104145.65999999999</v>
      </c>
      <c r="E10" s="40">
        <v>1070861.77</v>
      </c>
      <c r="F10" s="40">
        <v>1169213.8</v>
      </c>
      <c r="G10" s="44">
        <v>1839477.314487963</v>
      </c>
      <c r="H10" s="40">
        <v>1013580</v>
      </c>
      <c r="I10" s="40">
        <v>272405.99</v>
      </c>
      <c r="J10" s="40">
        <v>350084</v>
      </c>
      <c r="K10" s="40">
        <v>1114579</v>
      </c>
      <c r="L10" s="40">
        <v>70429</v>
      </c>
      <c r="M10" s="40"/>
      <c r="N10" s="40">
        <v>88551.51</v>
      </c>
      <c r="O10" s="40">
        <v>385231.1</v>
      </c>
      <c r="P10" s="41">
        <f t="shared" si="2"/>
        <v>7478559.1444879621</v>
      </c>
      <c r="T10" s="5" t="s">
        <v>4</v>
      </c>
      <c r="U10" s="40">
        <v>104145.65999999999</v>
      </c>
      <c r="V10" s="40">
        <v>1070861.77</v>
      </c>
      <c r="W10" s="40">
        <v>1019219.75</v>
      </c>
      <c r="X10" s="44">
        <v>1771017.9007564359</v>
      </c>
      <c r="Y10" s="40">
        <v>1013580</v>
      </c>
      <c r="Z10" s="40">
        <v>272405.99</v>
      </c>
      <c r="AA10" s="40">
        <v>350084</v>
      </c>
      <c r="AB10" s="40">
        <v>1114579</v>
      </c>
      <c r="AC10" s="40">
        <v>70429</v>
      </c>
      <c r="AD10" s="40"/>
      <c r="AE10" s="40">
        <v>88551.51</v>
      </c>
      <c r="AF10" s="40">
        <v>999186.00999999989</v>
      </c>
      <c r="AG10" s="40">
        <v>266470.27999999997</v>
      </c>
      <c r="AH10" s="41">
        <f t="shared" si="3"/>
        <v>8140530.8707564352</v>
      </c>
    </row>
    <row r="11" spans="3:35" ht="14.1" customHeight="1" x14ac:dyDescent="0.2">
      <c r="C11" s="6" t="s">
        <v>5</v>
      </c>
      <c r="D11" s="42">
        <v>1957458.7200000002</v>
      </c>
      <c r="E11" s="42">
        <v>4179570.370000001</v>
      </c>
      <c r="F11" s="42">
        <v>3640018.65</v>
      </c>
      <c r="G11" s="42">
        <v>4415358.2928351285</v>
      </c>
      <c r="H11" s="42">
        <v>2091741</v>
      </c>
      <c r="I11" s="42">
        <v>1192407.1299999999</v>
      </c>
      <c r="J11" s="42">
        <v>637759</v>
      </c>
      <c r="K11" s="42">
        <v>2731673</v>
      </c>
      <c r="L11" s="42">
        <v>744435</v>
      </c>
      <c r="M11" s="42"/>
      <c r="N11" s="42">
        <v>918007.82000000007</v>
      </c>
      <c r="O11" s="42">
        <v>795946.82</v>
      </c>
      <c r="P11" s="43">
        <f t="shared" si="2"/>
        <v>23304375.802835129</v>
      </c>
      <c r="T11" s="6" t="s">
        <v>5</v>
      </c>
      <c r="U11" s="42">
        <v>1957458.7200000002</v>
      </c>
      <c r="V11" s="42">
        <v>4179570.370000001</v>
      </c>
      <c r="W11" s="42">
        <v>3072262.3299999996</v>
      </c>
      <c r="X11" s="42">
        <v>4266347.0270689707</v>
      </c>
      <c r="Y11" s="42">
        <v>2091741</v>
      </c>
      <c r="Z11" s="42">
        <v>1192407.1299999999</v>
      </c>
      <c r="AA11" s="42">
        <v>637759</v>
      </c>
      <c r="AB11" s="42">
        <v>2731673</v>
      </c>
      <c r="AC11" s="42">
        <v>744435</v>
      </c>
      <c r="AD11" s="42"/>
      <c r="AE11" s="42">
        <v>918007.82000000007</v>
      </c>
      <c r="AF11" s="42">
        <v>3168593.14</v>
      </c>
      <c r="AG11" s="42">
        <v>500578.54000000004</v>
      </c>
      <c r="AH11" s="43">
        <f t="shared" si="3"/>
        <v>25460833.077068973</v>
      </c>
    </row>
    <row r="12" spans="3:35" ht="14.1" customHeight="1" x14ac:dyDescent="0.2">
      <c r="C12" s="7" t="s">
        <v>6</v>
      </c>
      <c r="D12" s="44">
        <v>9912.2000000000007</v>
      </c>
      <c r="E12" s="44"/>
      <c r="F12" s="44">
        <v>723.09999999999991</v>
      </c>
      <c r="G12" s="44">
        <v>2766.71</v>
      </c>
      <c r="H12" s="44">
        <v>1510</v>
      </c>
      <c r="I12" s="44">
        <v>0</v>
      </c>
      <c r="J12" s="44">
        <v>0</v>
      </c>
      <c r="K12" s="44">
        <v>171</v>
      </c>
      <c r="L12" s="44">
        <v>0</v>
      </c>
      <c r="M12" s="44"/>
      <c r="N12" s="44">
        <v>20461.600000000002</v>
      </c>
      <c r="O12" s="44">
        <v>0</v>
      </c>
      <c r="P12" s="45">
        <f t="shared" si="2"/>
        <v>35544.61</v>
      </c>
      <c r="T12" s="7" t="s">
        <v>6</v>
      </c>
      <c r="U12" s="44">
        <v>9912.2000000000007</v>
      </c>
      <c r="V12" s="44"/>
      <c r="W12" s="44">
        <v>723.09999999999991</v>
      </c>
      <c r="X12" s="44">
        <v>2766.71</v>
      </c>
      <c r="Y12" s="44">
        <v>1510</v>
      </c>
      <c r="Z12" s="44">
        <v>0</v>
      </c>
      <c r="AA12" s="44">
        <v>0</v>
      </c>
      <c r="AB12" s="44">
        <v>171</v>
      </c>
      <c r="AC12" s="44">
        <v>0</v>
      </c>
      <c r="AD12" s="44"/>
      <c r="AE12" s="44">
        <v>20461.600000000002</v>
      </c>
      <c r="AF12" s="44">
        <v>0</v>
      </c>
      <c r="AG12" s="44">
        <v>184972.63</v>
      </c>
      <c r="AH12" s="45">
        <f t="shared" si="3"/>
        <v>220517.24</v>
      </c>
    </row>
    <row r="13" spans="3:35" ht="14.1" customHeight="1" x14ac:dyDescent="0.2">
      <c r="C13" s="6" t="s">
        <v>7</v>
      </c>
      <c r="D13" s="42">
        <v>388435.05999999994</v>
      </c>
      <c r="E13" s="42">
        <v>949642.91000000015</v>
      </c>
      <c r="F13" s="42">
        <v>1398741.68</v>
      </c>
      <c r="G13" s="42">
        <v>1210111.2203966544</v>
      </c>
      <c r="H13" s="42">
        <v>405490</v>
      </c>
      <c r="I13" s="42">
        <v>609561.93999999994</v>
      </c>
      <c r="J13" s="42">
        <v>134820</v>
      </c>
      <c r="K13" s="42">
        <v>956594</v>
      </c>
      <c r="L13" s="42">
        <v>331272</v>
      </c>
      <c r="M13" s="42">
        <v>32692.010000000002</v>
      </c>
      <c r="N13" s="42">
        <v>265587.3</v>
      </c>
      <c r="O13" s="42">
        <v>222348.00999999998</v>
      </c>
      <c r="P13" s="43">
        <f t="shared" si="2"/>
        <v>6905296.1303966539</v>
      </c>
      <c r="T13" s="6" t="s">
        <v>7</v>
      </c>
      <c r="U13" s="42">
        <v>388435.05999999994</v>
      </c>
      <c r="V13" s="42">
        <v>949642.91000000015</v>
      </c>
      <c r="W13" s="42">
        <v>1256180.76</v>
      </c>
      <c r="X13" s="42">
        <v>1184111.6081926932</v>
      </c>
      <c r="Y13" s="42">
        <v>405490</v>
      </c>
      <c r="Z13" s="42">
        <v>609561.93999999994</v>
      </c>
      <c r="AA13" s="42">
        <v>134820</v>
      </c>
      <c r="AB13" s="42">
        <v>956594</v>
      </c>
      <c r="AC13" s="42">
        <v>331272</v>
      </c>
      <c r="AD13" s="42">
        <v>32692.010000000002</v>
      </c>
      <c r="AE13" s="42">
        <v>265587.3</v>
      </c>
      <c r="AF13" s="42">
        <v>2201257.15</v>
      </c>
      <c r="AG13" s="42">
        <v>181905.75</v>
      </c>
      <c r="AH13" s="43">
        <f t="shared" si="3"/>
        <v>8897550.4881926924</v>
      </c>
    </row>
    <row r="14" spans="3:35" ht="14.1" customHeight="1" x14ac:dyDescent="0.2">
      <c r="C14" s="5" t="s">
        <v>8</v>
      </c>
      <c r="D14" s="40">
        <v>872919.3</v>
      </c>
      <c r="E14" s="40">
        <v>6242234.4199999999</v>
      </c>
      <c r="F14" s="40">
        <v>5238960.3999999994</v>
      </c>
      <c r="G14" s="44">
        <v>2816239.0138673657</v>
      </c>
      <c r="H14" s="40">
        <v>2855200</v>
      </c>
      <c r="I14" s="40">
        <v>264336.48</v>
      </c>
      <c r="J14" s="40">
        <v>490848</v>
      </c>
      <c r="K14" s="40">
        <v>3104198</v>
      </c>
      <c r="L14" s="40">
        <v>917279</v>
      </c>
      <c r="M14" s="40">
        <v>606466.76</v>
      </c>
      <c r="N14" s="40">
        <v>1131199.78</v>
      </c>
      <c r="O14" s="40">
        <v>1391435.52</v>
      </c>
      <c r="P14" s="41">
        <f t="shared" si="2"/>
        <v>25931316.673867367</v>
      </c>
      <c r="T14" s="5" t="s">
        <v>8</v>
      </c>
      <c r="U14" s="40">
        <v>872919.3</v>
      </c>
      <c r="V14" s="40">
        <v>6242234.4199999999</v>
      </c>
      <c r="W14" s="40">
        <v>4870153.2699999996</v>
      </c>
      <c r="X14" s="44">
        <v>2809773.4626239487</v>
      </c>
      <c r="Y14" s="40">
        <v>2855200</v>
      </c>
      <c r="Z14" s="40">
        <v>264336.48</v>
      </c>
      <c r="AA14" s="40">
        <v>490848</v>
      </c>
      <c r="AB14" s="40">
        <v>3104198</v>
      </c>
      <c r="AC14" s="40">
        <v>917279</v>
      </c>
      <c r="AD14" s="40">
        <v>606466.76</v>
      </c>
      <c r="AE14" s="40">
        <v>1131199.78</v>
      </c>
      <c r="AF14" s="40">
        <v>6592653.04</v>
      </c>
      <c r="AG14" s="40">
        <v>1271887.1400000001</v>
      </c>
      <c r="AH14" s="41">
        <f t="shared" si="3"/>
        <v>32029148.652623951</v>
      </c>
    </row>
    <row r="15" spans="3:35" ht="14.1" customHeight="1" x14ac:dyDescent="0.2">
      <c r="C15" s="8" t="s">
        <v>9</v>
      </c>
      <c r="D15" s="38">
        <v>27613.039999999994</v>
      </c>
      <c r="E15" s="38">
        <v>117647.7099999999</v>
      </c>
      <c r="F15" s="38">
        <v>216692.88000000012</v>
      </c>
      <c r="G15" s="42">
        <v>174606.28250610697</v>
      </c>
      <c r="H15" s="38">
        <v>288436</v>
      </c>
      <c r="I15" s="38">
        <v>45975.450000000026</v>
      </c>
      <c r="J15" s="38">
        <v>13101</v>
      </c>
      <c r="K15" s="38">
        <v>489872</v>
      </c>
      <c r="L15" s="38">
        <v>23494</v>
      </c>
      <c r="M15" s="38">
        <v>3647.54</v>
      </c>
      <c r="N15" s="38">
        <v>15969.9</v>
      </c>
      <c r="O15" s="38">
        <v>16508.86</v>
      </c>
      <c r="P15" s="39">
        <f t="shared" si="2"/>
        <v>1433564.662506107</v>
      </c>
      <c r="T15" s="8" t="s">
        <v>9</v>
      </c>
      <c r="U15" s="38">
        <v>27613.039999999994</v>
      </c>
      <c r="V15" s="38">
        <v>117647.7099999999</v>
      </c>
      <c r="W15" s="38">
        <v>191828.3000000001</v>
      </c>
      <c r="X15" s="42">
        <v>171023.10711563079</v>
      </c>
      <c r="Y15" s="38">
        <v>288436</v>
      </c>
      <c r="Z15" s="38">
        <v>45975.450000000026</v>
      </c>
      <c r="AA15" s="38">
        <v>13101</v>
      </c>
      <c r="AB15" s="38">
        <v>489872</v>
      </c>
      <c r="AC15" s="38">
        <v>23494</v>
      </c>
      <c r="AD15" s="38">
        <v>3647.54</v>
      </c>
      <c r="AE15" s="38">
        <v>15969.9</v>
      </c>
      <c r="AF15" s="38">
        <v>223517.52000000008</v>
      </c>
      <c r="AG15" s="38">
        <v>12300.610000000073</v>
      </c>
      <c r="AH15" s="39">
        <f t="shared" si="3"/>
        <v>1624426.1771156311</v>
      </c>
    </row>
    <row r="16" spans="3:35" ht="14.1" customHeight="1" x14ac:dyDescent="0.2">
      <c r="C16" s="5" t="s">
        <v>10</v>
      </c>
      <c r="D16" s="40">
        <v>349.77999999999975</v>
      </c>
      <c r="E16" s="40">
        <v>-770.7700000000001</v>
      </c>
      <c r="F16" s="40">
        <v>777.75</v>
      </c>
      <c r="G16" s="44">
        <v>-3989.9751164405643</v>
      </c>
      <c r="H16" s="40">
        <v>0</v>
      </c>
      <c r="I16" s="40">
        <v>0</v>
      </c>
      <c r="J16" s="40">
        <v>0</v>
      </c>
      <c r="K16" s="40">
        <v>127</v>
      </c>
      <c r="L16" s="40">
        <v>122</v>
      </c>
      <c r="M16" s="40">
        <v>4.3099999999999996</v>
      </c>
      <c r="N16" s="40">
        <v>0</v>
      </c>
      <c r="O16" s="40">
        <v>32.270000000000003</v>
      </c>
      <c r="P16" s="41">
        <f t="shared" si="2"/>
        <v>-3347.6351164405646</v>
      </c>
      <c r="T16" s="5" t="s">
        <v>10</v>
      </c>
      <c r="U16" s="40">
        <v>349.77999999999975</v>
      </c>
      <c r="V16" s="40">
        <v>-770.7700000000001</v>
      </c>
      <c r="W16" s="40">
        <v>735.5</v>
      </c>
      <c r="X16" s="44">
        <v>-3877.9187988166104</v>
      </c>
      <c r="Y16" s="40">
        <v>0</v>
      </c>
      <c r="Z16" s="40">
        <v>0</v>
      </c>
      <c r="AA16" s="40">
        <v>0</v>
      </c>
      <c r="AB16" s="40">
        <v>127</v>
      </c>
      <c r="AC16" s="40">
        <v>122</v>
      </c>
      <c r="AD16" s="40">
        <v>4.3099999999999996</v>
      </c>
      <c r="AE16" s="40">
        <v>0</v>
      </c>
      <c r="AF16" s="40">
        <v>0</v>
      </c>
      <c r="AG16" s="40">
        <v>83.38</v>
      </c>
      <c r="AH16" s="41">
        <f t="shared" si="3"/>
        <v>-3226.7187988166106</v>
      </c>
    </row>
    <row r="17" spans="3:38" ht="14.1" customHeight="1" x14ac:dyDescent="0.2">
      <c r="C17" s="6" t="s">
        <v>11</v>
      </c>
      <c r="D17" s="42">
        <v>56499.26</v>
      </c>
      <c r="E17" s="42">
        <v>0</v>
      </c>
      <c r="F17" s="42">
        <v>0</v>
      </c>
      <c r="G17" s="42">
        <v>35983.1810458689</v>
      </c>
      <c r="H17" s="42">
        <v>146265</v>
      </c>
      <c r="I17" s="42">
        <v>17513.32</v>
      </c>
      <c r="J17" s="42">
        <v>0</v>
      </c>
      <c r="K17" s="42">
        <v>35</v>
      </c>
      <c r="L17" s="42">
        <v>0</v>
      </c>
      <c r="M17" s="42">
        <v>11113.98</v>
      </c>
      <c r="N17" s="42">
        <v>58591.31</v>
      </c>
      <c r="O17" s="42">
        <v>0</v>
      </c>
      <c r="P17" s="43">
        <f t="shared" si="2"/>
        <v>326001.0510458689</v>
      </c>
      <c r="T17" s="6" t="s">
        <v>11</v>
      </c>
      <c r="U17" s="42">
        <v>56499.26</v>
      </c>
      <c r="V17" s="42">
        <v>0</v>
      </c>
      <c r="W17" s="42">
        <v>0</v>
      </c>
      <c r="X17" s="42">
        <v>35089.209812120593</v>
      </c>
      <c r="Y17" s="42">
        <v>146265</v>
      </c>
      <c r="Z17" s="42">
        <v>17513.32</v>
      </c>
      <c r="AA17" s="42">
        <v>0</v>
      </c>
      <c r="AB17" s="42">
        <v>35</v>
      </c>
      <c r="AC17" s="42">
        <v>0</v>
      </c>
      <c r="AD17" s="42">
        <v>11113.98</v>
      </c>
      <c r="AE17" s="42">
        <v>58591.31</v>
      </c>
      <c r="AF17" s="42">
        <v>0</v>
      </c>
      <c r="AG17" s="42">
        <v>0</v>
      </c>
      <c r="AH17" s="43">
        <f t="shared" si="3"/>
        <v>325107.07981212059</v>
      </c>
    </row>
    <row r="18" spans="3:38" ht="14.1" customHeight="1" thickBot="1" x14ac:dyDescent="0.25">
      <c r="C18" s="9" t="s">
        <v>12</v>
      </c>
      <c r="D18" s="46">
        <v>0</v>
      </c>
      <c r="E18" s="46">
        <v>4243052.2399999993</v>
      </c>
      <c r="F18" s="46">
        <v>3682973.6</v>
      </c>
      <c r="G18" s="46">
        <v>0</v>
      </c>
      <c r="H18" s="46">
        <v>0</v>
      </c>
      <c r="I18" s="46">
        <v>0</v>
      </c>
      <c r="J18" s="46">
        <v>0</v>
      </c>
      <c r="K18" s="46">
        <v>655478</v>
      </c>
      <c r="L18" s="46">
        <v>293751</v>
      </c>
      <c r="M18" s="46">
        <v>0</v>
      </c>
      <c r="N18" s="46">
        <v>0</v>
      </c>
      <c r="O18" s="46">
        <v>853535.47995000007</v>
      </c>
      <c r="P18" s="47">
        <f t="shared" si="2"/>
        <v>9728790.3199499995</v>
      </c>
      <c r="T18" s="9" t="s">
        <v>12</v>
      </c>
      <c r="U18" s="46">
        <v>0</v>
      </c>
      <c r="V18" s="46">
        <v>4243052.2399999993</v>
      </c>
      <c r="W18" s="46">
        <v>3270689.7</v>
      </c>
      <c r="X18" s="46">
        <v>0</v>
      </c>
      <c r="Y18" s="46">
        <v>0</v>
      </c>
      <c r="Z18" s="46">
        <v>0</v>
      </c>
      <c r="AA18" s="46">
        <v>0</v>
      </c>
      <c r="AB18" s="46">
        <v>655478</v>
      </c>
      <c r="AC18" s="46">
        <v>293751</v>
      </c>
      <c r="AD18" s="46">
        <v>0</v>
      </c>
      <c r="AE18" s="46">
        <v>0</v>
      </c>
      <c r="AF18" s="46">
        <v>0</v>
      </c>
      <c r="AG18" s="46">
        <v>0</v>
      </c>
      <c r="AH18" s="47">
        <f>SUM(U18:AG18)</f>
        <v>8462970.9399999995</v>
      </c>
    </row>
    <row r="19" spans="3:38" ht="14.1" customHeight="1" x14ac:dyDescent="0.2">
      <c r="C19" s="32" t="s">
        <v>13</v>
      </c>
      <c r="D19" s="48">
        <v>15683459.100000001</v>
      </c>
      <c r="E19" s="48">
        <v>42771839.230000004</v>
      </c>
      <c r="F19" s="48">
        <v>45590202.199999996</v>
      </c>
      <c r="G19" s="48">
        <v>44073998.174099311</v>
      </c>
      <c r="H19" s="48">
        <v>23879165</v>
      </c>
      <c r="I19" s="48">
        <v>16477863.069999998</v>
      </c>
      <c r="J19" s="48">
        <v>6870777</v>
      </c>
      <c r="K19" s="48">
        <v>30346231</v>
      </c>
      <c r="L19" s="48">
        <v>9120144</v>
      </c>
      <c r="M19" s="48">
        <v>2826523.83</v>
      </c>
      <c r="N19" s="48">
        <v>9540289.8600000013</v>
      </c>
      <c r="O19" s="48">
        <v>9695820.299949998</v>
      </c>
      <c r="P19" s="49">
        <f t="shared" si="2"/>
        <v>256876312.76404932</v>
      </c>
      <c r="T19" s="32" t="s">
        <v>13</v>
      </c>
      <c r="U19" s="48">
        <v>15683459.100000001</v>
      </c>
      <c r="V19" s="48">
        <v>42771839.230000004</v>
      </c>
      <c r="W19" s="48">
        <v>39812879.559999987</v>
      </c>
      <c r="X19" s="48">
        <v>42933497.689341359</v>
      </c>
      <c r="Y19" s="48">
        <v>23879165</v>
      </c>
      <c r="Z19" s="48">
        <v>16477863.069999998</v>
      </c>
      <c r="AA19" s="48">
        <v>6870777</v>
      </c>
      <c r="AB19" s="48">
        <v>30346231</v>
      </c>
      <c r="AC19" s="48">
        <v>9120144</v>
      </c>
      <c r="AD19" s="48">
        <v>2826523.83</v>
      </c>
      <c r="AE19" s="48">
        <v>9540289.8600000013</v>
      </c>
      <c r="AF19" s="48">
        <v>42093477.150000006</v>
      </c>
      <c r="AG19" s="48">
        <v>8529151.0099999998</v>
      </c>
      <c r="AH19" s="49">
        <f>SUM(AH8:AH18)</f>
        <v>290885297.49934137</v>
      </c>
    </row>
    <row r="20" spans="3:38" ht="14.1" customHeight="1" x14ac:dyDescent="0.2">
      <c r="C20" s="7" t="s">
        <v>14</v>
      </c>
      <c r="D20" s="44"/>
      <c r="E20" s="44">
        <v>4276305.71</v>
      </c>
      <c r="F20" s="44">
        <v>3059429.4800000051</v>
      </c>
      <c r="G20" s="44">
        <v>71.98</v>
      </c>
      <c r="H20" s="44">
        <v>1989910</v>
      </c>
      <c r="I20" s="44">
        <v>0</v>
      </c>
      <c r="J20" s="44">
        <v>0</v>
      </c>
      <c r="K20" s="44">
        <v>2601293</v>
      </c>
      <c r="L20" s="44">
        <v>548055</v>
      </c>
      <c r="M20" s="44">
        <v>283419.21999999997</v>
      </c>
      <c r="N20" s="44">
        <v>934378.3899999999</v>
      </c>
      <c r="O20" s="44">
        <v>603796.81000000006</v>
      </c>
      <c r="P20" s="45">
        <f t="shared" si="2"/>
        <v>14296659.590000007</v>
      </c>
      <c r="T20" s="7" t="s">
        <v>14</v>
      </c>
      <c r="U20" s="44"/>
      <c r="V20" s="44">
        <v>4276305.71</v>
      </c>
      <c r="W20" s="44">
        <v>2855474.3200000045</v>
      </c>
      <c r="X20" s="44">
        <v>71.98</v>
      </c>
      <c r="Y20" s="44">
        <v>1989910</v>
      </c>
      <c r="Z20" s="44">
        <v>0</v>
      </c>
      <c r="AA20" s="44">
        <v>0</v>
      </c>
      <c r="AB20" s="44">
        <v>2601293</v>
      </c>
      <c r="AC20" s="44">
        <v>548055</v>
      </c>
      <c r="AD20" s="44">
        <v>283419.21999999997</v>
      </c>
      <c r="AE20" s="44">
        <v>934378.3899999999</v>
      </c>
      <c r="AF20" s="44">
        <v>3447617.59</v>
      </c>
      <c r="AG20" s="44">
        <v>815147.74</v>
      </c>
      <c r="AH20" s="45">
        <f>SUM(U20:AG20)</f>
        <v>17751672.950000007</v>
      </c>
    </row>
    <row r="21" spans="3:38" ht="14.1" customHeight="1" x14ac:dyDescent="0.2">
      <c r="C21" s="10" t="s">
        <v>15</v>
      </c>
      <c r="D21" s="50">
        <v>872919.3</v>
      </c>
      <c r="E21" s="50">
        <v>1965928.71</v>
      </c>
      <c r="F21" s="50">
        <v>2179530.9199999943</v>
      </c>
      <c r="G21" s="66">
        <v>2816167.0338673652</v>
      </c>
      <c r="H21" s="50">
        <v>865290</v>
      </c>
      <c r="I21" s="50"/>
      <c r="J21" s="50">
        <v>490848</v>
      </c>
      <c r="K21" s="50">
        <v>502905</v>
      </c>
      <c r="L21" s="50">
        <v>369224</v>
      </c>
      <c r="M21" s="50">
        <v>323047.54000000004</v>
      </c>
      <c r="N21" s="50">
        <v>196821.39000000013</v>
      </c>
      <c r="O21" s="50">
        <v>787638.71</v>
      </c>
      <c r="P21" s="51">
        <f t="shared" si="2"/>
        <v>11370320.603867359</v>
      </c>
      <c r="T21" s="10" t="s">
        <v>15</v>
      </c>
      <c r="U21" s="50">
        <v>872919.3</v>
      </c>
      <c r="V21" s="50">
        <v>1965928.71</v>
      </c>
      <c r="W21" s="50">
        <f>W14-W20</f>
        <v>2014678.9499999951</v>
      </c>
      <c r="X21" s="66">
        <v>2816167.0338673652</v>
      </c>
      <c r="Y21" s="50">
        <v>865290</v>
      </c>
      <c r="Z21" s="50"/>
      <c r="AA21" s="50">
        <v>490848</v>
      </c>
      <c r="AB21" s="50">
        <v>502905</v>
      </c>
      <c r="AC21" s="50">
        <v>369224</v>
      </c>
      <c r="AD21" s="50">
        <v>323047.54000000004</v>
      </c>
      <c r="AE21" s="50">
        <v>196821.39</v>
      </c>
      <c r="AF21" s="50">
        <f>AF14-AF20</f>
        <v>3145035.45</v>
      </c>
      <c r="AG21" s="50">
        <f>AG14-AG20</f>
        <v>456739.40000000014</v>
      </c>
      <c r="AH21" s="51">
        <f>SUM(U21:AG21)</f>
        <v>14019604.773867359</v>
      </c>
      <c r="AJ21" s="76">
        <f>AH22/AL22</f>
        <v>271.37609883934141</v>
      </c>
    </row>
    <row r="22" spans="3:38" ht="14.1" customHeight="1" x14ac:dyDescent="0.2">
      <c r="C22" s="5" t="s">
        <v>16</v>
      </c>
      <c r="D22" s="40">
        <v>15683459.100000001</v>
      </c>
      <c r="E22" s="40">
        <v>38495533.520000003</v>
      </c>
      <c r="F22" s="40">
        <v>42530772.719999991</v>
      </c>
      <c r="G22" s="44">
        <v>42297247.304099299</v>
      </c>
      <c r="H22" s="40">
        <v>21889255</v>
      </c>
      <c r="I22" s="40">
        <v>16477863.070000004</v>
      </c>
      <c r="J22" s="40">
        <v>6870777</v>
      </c>
      <c r="K22" s="40">
        <v>27744938</v>
      </c>
      <c r="L22" s="40">
        <v>8572089</v>
      </c>
      <c r="M22" s="40">
        <v>2543104.6100000003</v>
      </c>
      <c r="N22" s="40">
        <v>8605911.4700000007</v>
      </c>
      <c r="O22" s="40">
        <v>9092023.4899499975</v>
      </c>
      <c r="P22" s="41">
        <f>SUM(D22:O22)</f>
        <v>240802974.2840493</v>
      </c>
      <c r="T22" s="5" t="s">
        <v>16</v>
      </c>
      <c r="U22" s="40">
        <f>U19-U20</f>
        <v>15683459.100000001</v>
      </c>
      <c r="V22" s="40">
        <f>V19-V20</f>
        <v>38495533.520000003</v>
      </c>
      <c r="W22" s="40">
        <f>W19-W20</f>
        <v>36957405.23999998</v>
      </c>
      <c r="X22" s="44">
        <v>41175899.999341398</v>
      </c>
      <c r="Y22" s="40">
        <f>Y19-Y20</f>
        <v>21889255</v>
      </c>
      <c r="Z22" s="40">
        <f t="shared" ref="Z22:AG22" si="4">Z19-Z20</f>
        <v>16477863.069999998</v>
      </c>
      <c r="AA22" s="40">
        <f t="shared" si="4"/>
        <v>6870777</v>
      </c>
      <c r="AB22" s="40">
        <f t="shared" si="4"/>
        <v>27744938</v>
      </c>
      <c r="AC22" s="40">
        <f t="shared" si="4"/>
        <v>8572089</v>
      </c>
      <c r="AD22" s="40">
        <f t="shared" si="4"/>
        <v>2543104.6100000003</v>
      </c>
      <c r="AE22" s="40">
        <f t="shared" si="4"/>
        <v>8605911.4700000007</v>
      </c>
      <c r="AF22" s="40">
        <f t="shared" si="4"/>
        <v>38645859.560000002</v>
      </c>
      <c r="AG22" s="40">
        <f t="shared" si="4"/>
        <v>7714003.2699999996</v>
      </c>
      <c r="AH22" s="41">
        <f>SUM(U22:AG22)</f>
        <v>271376098.8393414</v>
      </c>
      <c r="AJ22">
        <f>AH24/AL22</f>
        <v>1.8647261057228917</v>
      </c>
      <c r="AL22">
        <v>1000000</v>
      </c>
    </row>
    <row r="23" spans="3:38" ht="14.1" customHeight="1" x14ac:dyDescent="0.2">
      <c r="C23" s="11" t="s">
        <v>17</v>
      </c>
      <c r="D23" s="18">
        <f>D22/D24</f>
        <v>171.19865459676708</v>
      </c>
      <c r="E23" s="18">
        <f>E22/E24</f>
        <v>138.15640121469718</v>
      </c>
      <c r="F23" s="18">
        <f>F22/F24</f>
        <v>154.00828044713367</v>
      </c>
      <c r="G23" s="26">
        <f>G22/G24</f>
        <v>149.18997458587822</v>
      </c>
      <c r="H23" s="18">
        <v>131.5432367708612</v>
      </c>
      <c r="I23" s="18">
        <v>150.61832425438601</v>
      </c>
      <c r="J23" s="18">
        <v>155.24986866261827</v>
      </c>
      <c r="K23" s="18">
        <v>138.94408270659372</v>
      </c>
      <c r="L23" s="18">
        <v>144.97916749469567</v>
      </c>
      <c r="M23" s="18">
        <v>167.04411149390938</v>
      </c>
      <c r="N23" s="18">
        <v>133.55522625940648</v>
      </c>
      <c r="O23" s="18">
        <v>162.53199397835886</v>
      </c>
      <c r="P23" s="19">
        <f>P22/P24</f>
        <v>146.43894471695941</v>
      </c>
      <c r="T23" s="11" t="s">
        <v>17</v>
      </c>
      <c r="U23" s="18">
        <f>U22/U24</f>
        <v>171.19865459676708</v>
      </c>
      <c r="V23" s="18">
        <f t="shared" ref="V23:AC23" si="5">V22/V24</f>
        <v>138.15640121469718</v>
      </c>
      <c r="W23" s="18">
        <f>W22/W24</f>
        <v>156.9694830495246</v>
      </c>
      <c r="X23" s="26">
        <f>X22/X24</f>
        <v>148.89293028500072</v>
      </c>
      <c r="Y23" s="18">
        <f t="shared" si="5"/>
        <v>131.5432367708612</v>
      </c>
      <c r="Z23" s="18">
        <f t="shared" si="5"/>
        <v>150.61832425438601</v>
      </c>
      <c r="AA23" s="18">
        <f t="shared" si="5"/>
        <v>155.24986866261827</v>
      </c>
      <c r="AB23" s="18">
        <f t="shared" si="5"/>
        <v>138.94408270659372</v>
      </c>
      <c r="AC23" s="18">
        <f t="shared" si="5"/>
        <v>144.97916749469567</v>
      </c>
      <c r="AD23" s="18">
        <f>AD22/AD24</f>
        <v>167.04411149390938</v>
      </c>
      <c r="AE23" s="18">
        <f>AE22/AE24</f>
        <v>133.55522625940648</v>
      </c>
      <c r="AF23" s="18">
        <f>AF22/AF24</f>
        <v>140.12025367927589</v>
      </c>
      <c r="AG23" s="18">
        <f t="shared" ref="AG23" si="6">AG22/AG24</f>
        <v>160.20509046578667</v>
      </c>
      <c r="AH23" s="18">
        <f>AH22/AH24</f>
        <v>145.53134533081362</v>
      </c>
    </row>
    <row r="24" spans="3:38" ht="14.1" customHeight="1" thickBot="1" x14ac:dyDescent="0.25">
      <c r="C24" s="12" t="s">
        <v>18</v>
      </c>
      <c r="D24" s="20">
        <f>D6*D25*365</f>
        <v>91609.71</v>
      </c>
      <c r="E24" s="20">
        <f>E6*E25*365</f>
        <v>278637.34999999998</v>
      </c>
      <c r="F24" s="20">
        <f>F6*F25*365</f>
        <v>276159</v>
      </c>
      <c r="G24" s="67">
        <v>283512.66512048192</v>
      </c>
      <c r="H24" s="20">
        <v>166403.5</v>
      </c>
      <c r="I24" s="20">
        <v>109401.45</v>
      </c>
      <c r="J24" s="20">
        <v>44256.25</v>
      </c>
      <c r="K24" s="20">
        <v>199684.19999999998</v>
      </c>
      <c r="L24" s="20">
        <v>59126.35</v>
      </c>
      <c r="M24" s="20">
        <v>15224.15</v>
      </c>
      <c r="N24" s="20">
        <v>64437.1</v>
      </c>
      <c r="O24" s="20">
        <v>55939.9</v>
      </c>
      <c r="P24" s="21">
        <f>SUM(D24:O24)</f>
        <v>1644391.6251204819</v>
      </c>
      <c r="T24" s="12" t="s">
        <v>18</v>
      </c>
      <c r="U24" s="20">
        <v>91609.71</v>
      </c>
      <c r="V24" s="20">
        <v>278637.34999999998</v>
      </c>
      <c r="W24" s="20">
        <v>235443.25</v>
      </c>
      <c r="X24" s="67">
        <v>276547.04572289158</v>
      </c>
      <c r="Y24" s="20">
        <v>166403.5</v>
      </c>
      <c r="Z24" s="20">
        <v>109401.45</v>
      </c>
      <c r="AA24" s="20">
        <v>44256.25</v>
      </c>
      <c r="AB24" s="20">
        <v>199684.19999999998</v>
      </c>
      <c r="AC24" s="20">
        <v>59126.35</v>
      </c>
      <c r="AD24" s="20">
        <v>15224.15</v>
      </c>
      <c r="AE24" s="20">
        <v>64437.1</v>
      </c>
      <c r="AF24" s="20">
        <v>275804.95</v>
      </c>
      <c r="AG24" s="20">
        <v>48150.799999999996</v>
      </c>
      <c r="AH24" s="21">
        <f>SUM(U24:AG24)</f>
        <v>1864726.1057228916</v>
      </c>
    </row>
    <row r="25" spans="3:38" ht="14.1" customHeight="1" x14ac:dyDescent="0.2">
      <c r="C25" s="33" t="s">
        <v>19</v>
      </c>
      <c r="D25" s="34">
        <v>0.97</v>
      </c>
      <c r="E25" s="34">
        <v>0.97</v>
      </c>
      <c r="F25" s="34">
        <v>0.97</v>
      </c>
      <c r="G25" s="68">
        <v>0.97</v>
      </c>
      <c r="H25" s="35">
        <v>0.97</v>
      </c>
      <c r="I25" s="34">
        <v>0.97</v>
      </c>
      <c r="J25" s="34">
        <v>0.97</v>
      </c>
      <c r="K25" s="34">
        <v>0.97</v>
      </c>
      <c r="L25" s="34">
        <v>0.97</v>
      </c>
      <c r="M25" s="34">
        <v>0.97</v>
      </c>
      <c r="N25" s="34">
        <v>0.97</v>
      </c>
      <c r="O25" s="34">
        <v>0.97</v>
      </c>
      <c r="P25" s="35">
        <f>O25</f>
        <v>0.97</v>
      </c>
      <c r="T25" s="33" t="s">
        <v>19</v>
      </c>
      <c r="U25" s="34">
        <v>0.97</v>
      </c>
      <c r="V25" s="34">
        <v>0.97</v>
      </c>
      <c r="W25" s="34">
        <v>0.97</v>
      </c>
      <c r="X25" s="68">
        <v>0.97</v>
      </c>
      <c r="Y25" s="35">
        <v>0.97</v>
      </c>
      <c r="Z25" s="34">
        <v>0.97</v>
      </c>
      <c r="AA25" s="34">
        <v>0.97</v>
      </c>
      <c r="AB25" s="34">
        <v>0.97</v>
      </c>
      <c r="AC25" s="34">
        <v>0.97</v>
      </c>
      <c r="AD25" s="34">
        <v>0.97</v>
      </c>
      <c r="AE25" s="34">
        <v>0.97</v>
      </c>
      <c r="AF25" s="34">
        <v>0.97</v>
      </c>
      <c r="AG25" s="34">
        <v>0.97</v>
      </c>
      <c r="AH25" s="35">
        <v>0.97</v>
      </c>
      <c r="AI25">
        <f>AH33/AH36</f>
        <v>1.277806165131451</v>
      </c>
    </row>
    <row r="26" spans="3:38" ht="14.1" hidden="1" customHeight="1" x14ac:dyDescent="0.2">
      <c r="C26" s="13" t="s">
        <v>20</v>
      </c>
      <c r="D26" s="22">
        <v>1.1901663044234065</v>
      </c>
      <c r="E26" s="22">
        <v>3.9735272747892565</v>
      </c>
      <c r="F26" s="22">
        <v>3.6426143661468235E-2</v>
      </c>
      <c r="G26" s="69">
        <v>3.6368465739313525</v>
      </c>
      <c r="H26" s="22"/>
      <c r="I26" s="22"/>
      <c r="J26" s="22">
        <v>3.5991978534105353</v>
      </c>
      <c r="K26" s="22">
        <v>0.23116000164259368</v>
      </c>
      <c r="L26" s="22">
        <v>0.6305479705748791</v>
      </c>
      <c r="M26" s="22">
        <v>11.077123517569124</v>
      </c>
      <c r="N26" s="22">
        <v>12.508124667311224</v>
      </c>
      <c r="O26" s="22">
        <v>2.8301087417031492E-2</v>
      </c>
      <c r="P26" s="23"/>
      <c r="T26" s="13" t="s">
        <v>20</v>
      </c>
      <c r="U26" s="22">
        <v>1.1901663044234065</v>
      </c>
      <c r="V26" s="22">
        <v>3.9735272747892565</v>
      </c>
      <c r="W26" s="22">
        <v>3.6426143661468235E-2</v>
      </c>
      <c r="X26" s="69">
        <v>3.6368465739313525</v>
      </c>
      <c r="Y26" s="22"/>
      <c r="Z26" s="22"/>
      <c r="AA26" s="22">
        <v>3.5991978534105353</v>
      </c>
      <c r="AB26" s="22">
        <v>0.23116000164259368</v>
      </c>
      <c r="AC26" s="22">
        <v>0.6305479705748791</v>
      </c>
      <c r="AD26" s="22">
        <v>11.077123517569124</v>
      </c>
      <c r="AE26" s="22">
        <v>12.508124667311224</v>
      </c>
      <c r="AF26" s="22"/>
      <c r="AG26" s="22"/>
      <c r="AH26" s="23"/>
    </row>
    <row r="27" spans="3:38" ht="14.1" hidden="1" customHeight="1" x14ac:dyDescent="0.2">
      <c r="C27" s="16" t="s">
        <v>21</v>
      </c>
      <c r="D27" s="28">
        <v>31.44696441021372</v>
      </c>
      <c r="E27" s="28">
        <v>29.604307498617828</v>
      </c>
      <c r="F27" s="28">
        <v>28.677479767761277</v>
      </c>
      <c r="G27" s="70">
        <v>27.428650133479376</v>
      </c>
      <c r="H27" s="28"/>
      <c r="I27" s="28"/>
      <c r="J27" s="28">
        <v>14.181612766558395</v>
      </c>
      <c r="K27" s="28">
        <v>29.100084032687615</v>
      </c>
      <c r="L27" s="28">
        <v>31.323851379291973</v>
      </c>
      <c r="M27" s="28">
        <v>16.199616398945096</v>
      </c>
      <c r="N27" s="28">
        <v>18.092709324286783</v>
      </c>
      <c r="O27" s="28">
        <v>0</v>
      </c>
      <c r="P27" s="29"/>
      <c r="T27" s="16" t="s">
        <v>21</v>
      </c>
      <c r="U27" s="28">
        <v>31.44696441021372</v>
      </c>
      <c r="V27" s="28">
        <v>29.604307498617828</v>
      </c>
      <c r="W27" s="28">
        <v>28.677479767761277</v>
      </c>
      <c r="X27" s="70">
        <v>27.428650133479376</v>
      </c>
      <c r="Y27" s="28"/>
      <c r="Z27" s="28"/>
      <c r="AA27" s="28">
        <v>14.181612766558395</v>
      </c>
      <c r="AB27" s="28">
        <v>29.100084032687615</v>
      </c>
      <c r="AC27" s="28">
        <v>31.323851379291973</v>
      </c>
      <c r="AD27" s="28">
        <v>16.199616398945096</v>
      </c>
      <c r="AE27" s="28">
        <v>18.092709324286783</v>
      </c>
      <c r="AF27" s="28"/>
      <c r="AG27" s="28"/>
      <c r="AH27" s="29"/>
    </row>
    <row r="28" spans="3:38" ht="14.1" hidden="1" customHeight="1" x14ac:dyDescent="0.2">
      <c r="C28" s="13" t="s">
        <v>22</v>
      </c>
      <c r="D28" s="22">
        <v>0.73142737816766368</v>
      </c>
      <c r="E28" s="22">
        <v>3.2364648888600182E-2</v>
      </c>
      <c r="F28" s="22">
        <v>0.24649866227091666</v>
      </c>
      <c r="G28" s="69">
        <v>2.9374701819620229E-3</v>
      </c>
      <c r="H28" s="22"/>
      <c r="I28" s="22"/>
      <c r="J28" s="22">
        <v>0.97841547803982487</v>
      </c>
      <c r="K28" s="22">
        <v>0.68906303052519935</v>
      </c>
      <c r="L28" s="22">
        <v>0.27855600760067212</v>
      </c>
      <c r="M28" s="22"/>
      <c r="N28" s="22">
        <v>1.5784458021853871</v>
      </c>
      <c r="O28" s="22">
        <v>7.2972591656402672E-2</v>
      </c>
      <c r="P28" s="23"/>
      <c r="T28" s="13" t="s">
        <v>22</v>
      </c>
      <c r="U28" s="22">
        <v>0.73142737816766368</v>
      </c>
      <c r="V28" s="22">
        <v>3.2364648888600182E-2</v>
      </c>
      <c r="W28" s="22">
        <v>0.24649866227091666</v>
      </c>
      <c r="X28" s="69">
        <v>2.9374701819620229E-3</v>
      </c>
      <c r="Y28" s="22"/>
      <c r="Z28" s="22"/>
      <c r="AA28" s="22">
        <v>0.97841547803982487</v>
      </c>
      <c r="AB28" s="22">
        <v>0.68906303052519935</v>
      </c>
      <c r="AC28" s="22">
        <v>0.27855600760067212</v>
      </c>
      <c r="AD28" s="22"/>
      <c r="AE28" s="22">
        <v>1.5784458021853871</v>
      </c>
      <c r="AF28" s="22"/>
      <c r="AG28" s="22"/>
      <c r="AH28" s="23"/>
    </row>
    <row r="29" spans="3:38" ht="14.25" hidden="1" customHeight="1" x14ac:dyDescent="0.2">
      <c r="C29" s="16" t="s">
        <v>23</v>
      </c>
      <c r="D29" s="28">
        <v>33.36855809280479</v>
      </c>
      <c r="E29" s="28">
        <v>33.610199422295686</v>
      </c>
      <c r="F29" s="28">
        <v>28.960404573693662</v>
      </c>
      <c r="G29" s="70">
        <v>31.068434177592692</v>
      </c>
      <c r="H29" s="28"/>
      <c r="I29" s="28"/>
      <c r="J29" s="28">
        <v>18.759226098008757</v>
      </c>
      <c r="K29" s="28">
        <v>30.020307064855409</v>
      </c>
      <c r="L29" s="28">
        <v>32.232955357467524</v>
      </c>
      <c r="M29" s="28">
        <v>27.27673991651422</v>
      </c>
      <c r="N29" s="28">
        <v>32.179279793783394</v>
      </c>
      <c r="O29" s="60">
        <v>30.101273679073433</v>
      </c>
      <c r="P29" s="29"/>
      <c r="T29" s="16" t="s">
        <v>23</v>
      </c>
      <c r="U29" s="28">
        <v>33.36855809280479</v>
      </c>
      <c r="V29" s="28">
        <v>33.610199422295686</v>
      </c>
      <c r="W29" s="28">
        <v>28.960404573693662</v>
      </c>
      <c r="X29" s="70">
        <v>31.068434177592692</v>
      </c>
      <c r="Y29" s="28"/>
      <c r="Z29" s="28"/>
      <c r="AA29" s="28">
        <v>18.759226098008757</v>
      </c>
      <c r="AB29" s="28">
        <v>30.020307064855409</v>
      </c>
      <c r="AC29" s="28">
        <v>32.232955357467524</v>
      </c>
      <c r="AD29" s="28">
        <v>27.27673991651422</v>
      </c>
      <c r="AE29" s="28">
        <v>32.179279793783394</v>
      </c>
      <c r="AF29" s="28"/>
      <c r="AG29" s="28"/>
      <c r="AH29" s="29"/>
    </row>
    <row r="30" spans="3:38" ht="14.1" hidden="1" customHeight="1" x14ac:dyDescent="0.2">
      <c r="C30" s="14" t="s">
        <v>24</v>
      </c>
      <c r="D30" s="24">
        <v>137.8300965039623</v>
      </c>
      <c r="E30" s="24">
        <v>104.54620179240149</v>
      </c>
      <c r="F30" s="24">
        <v>125.04787587344001</v>
      </c>
      <c r="G30" s="71">
        <v>118.12154040828558</v>
      </c>
      <c r="H30" s="24"/>
      <c r="I30" s="24"/>
      <c r="J30" s="24">
        <v>136.49064256460952</v>
      </c>
      <c r="K30" s="24">
        <v>108.9237756417383</v>
      </c>
      <c r="L30" s="24">
        <v>112.74621213722816</v>
      </c>
      <c r="M30" s="24">
        <v>139.76737157739515</v>
      </c>
      <c r="N30" s="24">
        <v>101.37594646562309</v>
      </c>
      <c r="O30" s="24">
        <v>132.43072029928541</v>
      </c>
      <c r="P30" s="25"/>
      <c r="T30" s="14" t="s">
        <v>24</v>
      </c>
      <c r="U30" s="24">
        <v>137.8300965039623</v>
      </c>
      <c r="V30" s="24">
        <v>104.54620179240149</v>
      </c>
      <c r="W30" s="24">
        <v>125.04787587344001</v>
      </c>
      <c r="X30" s="71">
        <v>118.12154040828558</v>
      </c>
      <c r="Y30" s="24"/>
      <c r="Z30" s="24"/>
      <c r="AA30" s="24">
        <v>136.49064256460952</v>
      </c>
      <c r="AB30" s="24">
        <v>108.9237756417383</v>
      </c>
      <c r="AC30" s="24">
        <v>112.74621213722816</v>
      </c>
      <c r="AD30" s="24">
        <v>139.76737157739515</v>
      </c>
      <c r="AE30" s="24">
        <v>101.37594646562309</v>
      </c>
      <c r="AF30" s="24"/>
      <c r="AG30" s="24"/>
      <c r="AH30" s="25"/>
    </row>
    <row r="31" spans="3:38" ht="14.1" customHeight="1" x14ac:dyDescent="0.2">
      <c r="C31" s="14" t="s">
        <v>45</v>
      </c>
      <c r="D31" s="62">
        <f>D19+((D33-D23)*D24)</f>
        <v>16508904.315789476</v>
      </c>
      <c r="E31" s="62">
        <f>E19</f>
        <v>42771839.230000004</v>
      </c>
      <c r="F31" s="62">
        <f>F19</f>
        <v>45590202.199999996</v>
      </c>
      <c r="G31" s="72">
        <f>G19+((G33-G23)*G24)</f>
        <v>44073998.174099311</v>
      </c>
      <c r="H31" s="62">
        <f>H19+((H33-H23)*H24)</f>
        <v>25031231.052631579</v>
      </c>
      <c r="I31" s="62">
        <f>I19+((I33-I23)*I24)</f>
        <v>17345119.021052632</v>
      </c>
      <c r="J31" s="62">
        <f>J19+((J33-J23)*J24)</f>
        <v>7232396.8421052638</v>
      </c>
      <c r="K31" s="62">
        <f>K19</f>
        <v>30346231</v>
      </c>
      <c r="L31" s="62">
        <f>L19</f>
        <v>9120144</v>
      </c>
      <c r="M31" s="62">
        <f>M19+((M33-M23)*M24)</f>
        <v>2960371.4410526315</v>
      </c>
      <c r="N31" s="62">
        <f>N19+((N33-N23)*N24)</f>
        <v>9993232.5689473711</v>
      </c>
      <c r="O31" s="62">
        <f>O19</f>
        <v>9695820.299949998</v>
      </c>
      <c r="P31" s="63">
        <f>SUM(D31:O31)</f>
        <v>260669490.1456283</v>
      </c>
      <c r="T31" s="14" t="s">
        <v>12</v>
      </c>
      <c r="U31" s="62">
        <f>(U33-U23)*U24</f>
        <v>825445.21578947385</v>
      </c>
      <c r="V31" s="62">
        <f t="shared" ref="V31:AD31" si="7">(V33-V23)*V24</f>
        <v>0</v>
      </c>
      <c r="W31" s="62">
        <f t="shared" si="7"/>
        <v>0</v>
      </c>
      <c r="X31" s="72">
        <f>(X33-X23)*X24</f>
        <v>2167152.6315442827</v>
      </c>
      <c r="Y31" s="62">
        <f t="shared" si="7"/>
        <v>1152066.0526315789</v>
      </c>
      <c r="Z31" s="62">
        <f t="shared" si="7"/>
        <v>867255.95105263242</v>
      </c>
      <c r="AA31" s="62">
        <f t="shared" si="7"/>
        <v>361619.84210526373</v>
      </c>
      <c r="AB31" s="62">
        <f t="shared" si="7"/>
        <v>0</v>
      </c>
      <c r="AC31" s="62">
        <f t="shared" si="7"/>
        <v>0</v>
      </c>
      <c r="AD31" s="62">
        <f t="shared" si="7"/>
        <v>133847.61105263163</v>
      </c>
      <c r="AE31" s="62">
        <f>(AE33-AE23)*AE24</f>
        <v>452942.70894736925</v>
      </c>
      <c r="AF31" s="62">
        <f>(AF33-AF23)*AF24</f>
        <v>2033992.6084210512</v>
      </c>
      <c r="AG31" s="62">
        <f>(AG33-AG23)*AG24</f>
        <v>406000.17210526369</v>
      </c>
      <c r="AH31" s="63">
        <f>SUM(U31:AG31)</f>
        <v>8400322.7936495468</v>
      </c>
    </row>
    <row r="32" spans="3:38" ht="14.1" customHeight="1" x14ac:dyDescent="0.2">
      <c r="C32" s="14"/>
      <c r="D32" s="62"/>
      <c r="E32" s="62"/>
      <c r="F32" s="62"/>
      <c r="G32" s="72"/>
      <c r="H32" s="62"/>
      <c r="I32" s="62"/>
      <c r="J32" s="62"/>
      <c r="K32" s="62"/>
      <c r="L32" s="62"/>
      <c r="M32" s="62"/>
      <c r="N32" s="62"/>
      <c r="O32" s="62"/>
      <c r="P32" s="63"/>
      <c r="T32" s="14" t="s">
        <v>46</v>
      </c>
      <c r="U32" s="62">
        <f>U22+U31</f>
        <v>16508904.315789476</v>
      </c>
      <c r="V32" s="62">
        <f t="shared" ref="V32:AD32" si="8">V22+V31</f>
        <v>38495533.520000003</v>
      </c>
      <c r="W32" s="62">
        <f t="shared" si="8"/>
        <v>36957405.23999998</v>
      </c>
      <c r="X32" s="72">
        <f t="shared" si="8"/>
        <v>43343052.630885683</v>
      </c>
      <c r="Y32" s="62">
        <f t="shared" si="8"/>
        <v>23041321.052631579</v>
      </c>
      <c r="Z32" s="62">
        <f t="shared" si="8"/>
        <v>17345119.021052632</v>
      </c>
      <c r="AA32" s="62">
        <f t="shared" si="8"/>
        <v>7232396.8421052638</v>
      </c>
      <c r="AB32" s="62">
        <f t="shared" si="8"/>
        <v>27744938</v>
      </c>
      <c r="AC32" s="62">
        <f t="shared" si="8"/>
        <v>8572089</v>
      </c>
      <c r="AD32" s="62">
        <f t="shared" si="8"/>
        <v>2676952.2210526317</v>
      </c>
      <c r="AE32" s="62">
        <f>AE22+AE31</f>
        <v>9058854.1789473705</v>
      </c>
      <c r="AF32" s="62">
        <f>AF22+AF31</f>
        <v>40679852.168421052</v>
      </c>
      <c r="AG32" s="62">
        <f>AG22+AG31</f>
        <v>8120003.4421052635</v>
      </c>
      <c r="AH32" s="63">
        <f>AH22+AH31</f>
        <v>279776421.63299096</v>
      </c>
    </row>
    <row r="33" spans="3:37" ht="14.1" customHeight="1" x14ac:dyDescent="0.2">
      <c r="C33" s="15" t="s">
        <v>25</v>
      </c>
      <c r="D33" s="26">
        <f>D23/0.95</f>
        <v>180.20911010186009</v>
      </c>
      <c r="E33" s="26">
        <f>E23</f>
        <v>138.15640121469718</v>
      </c>
      <c r="F33" s="26">
        <f>F23</f>
        <v>154.00828044713367</v>
      </c>
      <c r="G33" s="75">
        <f>G23</f>
        <v>149.18997458587822</v>
      </c>
      <c r="H33" s="26">
        <f>H23/0.95</f>
        <v>138.46656502195916</v>
      </c>
      <c r="I33" s="26">
        <f>I23/0.95</f>
        <v>158.54560447830107</v>
      </c>
      <c r="J33" s="26">
        <f>J23/0.95</f>
        <v>163.42091438170345</v>
      </c>
      <c r="K33" s="26">
        <f>K23</f>
        <v>138.94408270659372</v>
      </c>
      <c r="L33" s="26">
        <f>L23</f>
        <v>144.97916749469567</v>
      </c>
      <c r="M33" s="26">
        <f>M23/0.95</f>
        <v>175.83590683569409</v>
      </c>
      <c r="N33" s="26">
        <f>N23/0.95</f>
        <v>140.5844486941121</v>
      </c>
      <c r="O33" s="26">
        <f>O23</f>
        <v>162.53199397835886</v>
      </c>
      <c r="P33" s="27">
        <f>P31/P24</f>
        <v>158.52032214438543</v>
      </c>
      <c r="T33" s="15" t="s">
        <v>25</v>
      </c>
      <c r="U33" s="26">
        <f>U23/0.95</f>
        <v>180.20911010186009</v>
      </c>
      <c r="V33" s="26">
        <f>V23</f>
        <v>138.15640121469718</v>
      </c>
      <c r="W33" s="26">
        <f>W23</f>
        <v>156.9694830495246</v>
      </c>
      <c r="X33" s="26">
        <f>X23/0.95</f>
        <v>156.72940030000075</v>
      </c>
      <c r="Y33" s="26">
        <f>Y23/0.95</f>
        <v>138.46656502195916</v>
      </c>
      <c r="Z33" s="26">
        <f>Z23/0.95</f>
        <v>158.54560447830107</v>
      </c>
      <c r="AA33" s="26">
        <f>AA23/0.95</f>
        <v>163.42091438170345</v>
      </c>
      <c r="AB33" s="26">
        <f>AB23</f>
        <v>138.94408270659372</v>
      </c>
      <c r="AC33" s="26">
        <f>AC23</f>
        <v>144.97916749469567</v>
      </c>
      <c r="AD33" s="26">
        <f>AD23/0.95</f>
        <v>175.83590683569409</v>
      </c>
      <c r="AE33" s="26">
        <f>AE23/0.95</f>
        <v>140.5844486941121</v>
      </c>
      <c r="AF33" s="26">
        <f>AF23/0.95</f>
        <v>147.49500387292198</v>
      </c>
      <c r="AG33" s="26">
        <f>AG23/0.95</f>
        <v>168.63693733240703</v>
      </c>
      <c r="AH33" s="27">
        <f>AH32/AH24</f>
        <v>150.03620144231908</v>
      </c>
      <c r="AI33" s="77">
        <f>AH33/AH36</f>
        <v>1.277806165131451</v>
      </c>
      <c r="AK33" s="61">
        <f>AH33-AH36</f>
        <v>32.619174089908</v>
      </c>
    </row>
    <row r="34" spans="3:37" ht="14.1" customHeight="1" x14ac:dyDescent="0.2">
      <c r="C34" s="14" t="s">
        <v>26</v>
      </c>
      <c r="D34" s="24">
        <v>132.03</v>
      </c>
      <c r="E34" s="56">
        <f>120</f>
        <v>120</v>
      </c>
      <c r="F34" s="24">
        <v>139.97999999999999</v>
      </c>
      <c r="G34" s="71">
        <v>115</v>
      </c>
      <c r="H34" s="24">
        <v>120</v>
      </c>
      <c r="I34" s="24">
        <v>128.41999999999999</v>
      </c>
      <c r="J34" s="24">
        <v>117.5</v>
      </c>
      <c r="K34" s="24">
        <v>115</v>
      </c>
      <c r="L34" s="24">
        <v>128</v>
      </c>
      <c r="M34" s="24">
        <v>127</v>
      </c>
      <c r="N34" s="24">
        <v>124</v>
      </c>
      <c r="O34" s="24">
        <v>92</v>
      </c>
      <c r="P34" s="25"/>
      <c r="T34" s="14" t="s">
        <v>26</v>
      </c>
      <c r="U34" s="24">
        <v>132.03</v>
      </c>
      <c r="V34" s="56">
        <v>120</v>
      </c>
      <c r="W34" s="24">
        <v>139.97999999999999</v>
      </c>
      <c r="X34" s="71">
        <v>115.73</v>
      </c>
      <c r="Y34" s="24">
        <v>120</v>
      </c>
      <c r="Z34" s="24">
        <v>128.41999999999999</v>
      </c>
      <c r="AA34" s="24">
        <v>117.5</v>
      </c>
      <c r="AB34" s="24">
        <v>115</v>
      </c>
      <c r="AC34" s="24">
        <v>128</v>
      </c>
      <c r="AD34" s="24">
        <v>127</v>
      </c>
      <c r="AE34" s="24">
        <v>124</v>
      </c>
      <c r="AF34" s="24">
        <v>125.08</v>
      </c>
      <c r="AG34" s="24">
        <v>120.65</v>
      </c>
      <c r="AH34" s="89">
        <f>SUMPRODUCT(U34:AG34,U24:AG24)/AH24</f>
        <v>123.59687089727483</v>
      </c>
      <c r="AK34" s="64">
        <f>AK33*AH24</f>
        <v>60825825.472571194</v>
      </c>
    </row>
    <row r="35" spans="3:37" ht="14.1" customHeight="1" x14ac:dyDescent="0.2">
      <c r="C35" s="16" t="s">
        <v>27</v>
      </c>
      <c r="D35" s="28">
        <v>-6.6015000000000006</v>
      </c>
      <c r="E35" s="57">
        <f>-E34*0.05</f>
        <v>-6</v>
      </c>
      <c r="F35" s="28">
        <v>-6.9989999999999997</v>
      </c>
      <c r="G35" s="70">
        <v>-5.75</v>
      </c>
      <c r="H35" s="28">
        <v>-6</v>
      </c>
      <c r="I35" s="28">
        <v>-6.4209999999999994</v>
      </c>
      <c r="J35" s="28">
        <v>-5.875</v>
      </c>
      <c r="K35" s="28">
        <v>-5.75</v>
      </c>
      <c r="L35" s="28">
        <v>-6.4</v>
      </c>
      <c r="M35" s="28">
        <v>-6.3500000000000005</v>
      </c>
      <c r="N35" s="28">
        <v>-6.2</v>
      </c>
      <c r="O35" s="28">
        <v>-4.6000000000000005</v>
      </c>
      <c r="P35" s="29"/>
      <c r="T35" s="16" t="s">
        <v>27</v>
      </c>
      <c r="U35" s="28">
        <f>-U34*0.05</f>
        <v>-6.6015000000000006</v>
      </c>
      <c r="V35" s="28">
        <f t="shared" ref="V35:AG35" si="9">-V34*0.05</f>
        <v>-6</v>
      </c>
      <c r="W35" s="28">
        <f t="shared" si="9"/>
        <v>-6.9989999999999997</v>
      </c>
      <c r="X35" s="28">
        <f t="shared" si="9"/>
        <v>-5.7865000000000002</v>
      </c>
      <c r="Y35" s="28">
        <f t="shared" si="9"/>
        <v>-6</v>
      </c>
      <c r="Z35" s="28">
        <f t="shared" si="9"/>
        <v>-6.4209999999999994</v>
      </c>
      <c r="AA35" s="28">
        <f t="shared" si="9"/>
        <v>-5.875</v>
      </c>
      <c r="AB35" s="28">
        <f t="shared" si="9"/>
        <v>-5.75</v>
      </c>
      <c r="AC35" s="28">
        <f t="shared" si="9"/>
        <v>-6.4</v>
      </c>
      <c r="AD35" s="28">
        <f t="shared" si="9"/>
        <v>-6.3500000000000005</v>
      </c>
      <c r="AE35" s="28">
        <f t="shared" si="9"/>
        <v>-6.2</v>
      </c>
      <c r="AF35" s="28">
        <f t="shared" si="9"/>
        <v>-6.2540000000000004</v>
      </c>
      <c r="AG35" s="28">
        <f t="shared" si="9"/>
        <v>-6.0325000000000006</v>
      </c>
      <c r="AH35" s="90">
        <f>SUMPRODUCT(U35:AG35,U24:AG24)/AH24</f>
        <v>-6.1798435448637399</v>
      </c>
      <c r="AI35" s="96">
        <f>SUMPRODUCT(U35:AG35,U24:AG24)/SUM(U24:AG24)</f>
        <v>-6.1798435448637399</v>
      </c>
    </row>
    <row r="36" spans="3:37" ht="14.1" customHeight="1" x14ac:dyDescent="0.2">
      <c r="C36" s="17" t="s">
        <v>28</v>
      </c>
      <c r="D36" s="30">
        <v>125.4285</v>
      </c>
      <c r="E36" s="58">
        <f>E34+E35</f>
        <v>114</v>
      </c>
      <c r="F36" s="30">
        <v>132.98099999999999</v>
      </c>
      <c r="G36" s="73">
        <v>109.25</v>
      </c>
      <c r="H36" s="30">
        <v>114</v>
      </c>
      <c r="I36" s="30">
        <v>121.999</v>
      </c>
      <c r="J36" s="30">
        <v>111.625</v>
      </c>
      <c r="K36" s="30">
        <v>109.25</v>
      </c>
      <c r="L36" s="30">
        <v>121.6</v>
      </c>
      <c r="M36" s="30">
        <v>120.65</v>
      </c>
      <c r="N36" s="30">
        <v>117.8</v>
      </c>
      <c r="O36" s="30">
        <v>87.4</v>
      </c>
      <c r="P36" s="31"/>
      <c r="T36" s="17" t="s">
        <v>28</v>
      </c>
      <c r="U36" s="30">
        <v>125.4285</v>
      </c>
      <c r="V36" s="58">
        <v>114</v>
      </c>
      <c r="W36" s="30">
        <v>132.98099999999999</v>
      </c>
      <c r="X36" s="73">
        <v>109.9435</v>
      </c>
      <c r="Y36" s="30">
        <v>114</v>
      </c>
      <c r="Z36" s="30">
        <v>121.999</v>
      </c>
      <c r="AA36" s="30">
        <v>111.625</v>
      </c>
      <c r="AB36" s="30">
        <v>109.25</v>
      </c>
      <c r="AC36" s="30">
        <v>121.6</v>
      </c>
      <c r="AD36" s="30">
        <v>120.65</v>
      </c>
      <c r="AE36" s="30">
        <v>117.8</v>
      </c>
      <c r="AF36" s="30">
        <v>118.82599999999999</v>
      </c>
      <c r="AG36" s="30">
        <v>115.4</v>
      </c>
      <c r="AH36" s="91">
        <f>AH34+AH35</f>
        <v>117.41702735241108</v>
      </c>
      <c r="AI36" s="83">
        <f>SUMPRODUCT(U36:AG36,U24:AG24)/SUM(U24:AG24)</f>
        <v>117.43723300131808</v>
      </c>
    </row>
    <row r="37" spans="3:37" ht="14.1" customHeight="1" x14ac:dyDescent="0.2">
      <c r="C37" s="85"/>
      <c r="D37" s="79"/>
      <c r="E37" s="86"/>
      <c r="F37" s="79"/>
      <c r="G37" s="87"/>
      <c r="H37" s="79"/>
      <c r="I37" s="79"/>
      <c r="J37" s="79"/>
      <c r="K37" s="79"/>
      <c r="L37" s="79"/>
      <c r="M37" s="79"/>
      <c r="N37" s="79"/>
      <c r="O37" s="79"/>
      <c r="P37" s="79"/>
      <c r="T37" s="85"/>
      <c r="U37" s="79">
        <f>U33-U36</f>
        <v>54.780610101860091</v>
      </c>
      <c r="V37" s="79">
        <f t="shared" ref="V37:AG37" si="10">V33-V36</f>
        <v>24.156401214697183</v>
      </c>
      <c r="W37" s="79">
        <f t="shared" si="10"/>
        <v>23.988483049524604</v>
      </c>
      <c r="X37" s="79">
        <f>X33-X36</f>
        <v>46.785900300000748</v>
      </c>
      <c r="Y37" s="79">
        <f t="shared" si="10"/>
        <v>24.466565021959156</v>
      </c>
      <c r="Z37" s="79">
        <f t="shared" si="10"/>
        <v>36.546604478301077</v>
      </c>
      <c r="AA37" s="79">
        <f t="shared" si="10"/>
        <v>51.795914381703454</v>
      </c>
      <c r="AB37" s="79">
        <f t="shared" si="10"/>
        <v>29.694082706593719</v>
      </c>
      <c r="AC37" s="79">
        <f t="shared" si="10"/>
        <v>23.379167494695679</v>
      </c>
      <c r="AD37" s="79">
        <f t="shared" si="10"/>
        <v>55.185906835694084</v>
      </c>
      <c r="AE37" s="79">
        <f t="shared" si="10"/>
        <v>22.7844486941121</v>
      </c>
      <c r="AF37" s="79">
        <f t="shared" si="10"/>
        <v>28.669003872921991</v>
      </c>
      <c r="AG37" s="79">
        <f t="shared" si="10"/>
        <v>53.236937332407024</v>
      </c>
      <c r="AH37" s="79">
        <f>AH33-AH36</f>
        <v>32.619174089908</v>
      </c>
    </row>
    <row r="38" spans="3:37" ht="14.1" customHeight="1" x14ac:dyDescent="0.2">
      <c r="C38" s="85"/>
      <c r="D38" s="79"/>
      <c r="E38" s="86"/>
      <c r="F38" s="79"/>
      <c r="G38" s="87"/>
      <c r="H38" s="79"/>
      <c r="I38" s="79"/>
      <c r="J38" s="79"/>
      <c r="K38" s="79"/>
      <c r="L38" s="79"/>
      <c r="M38" s="79"/>
      <c r="N38" s="79"/>
      <c r="O38" s="79"/>
      <c r="P38" s="79"/>
      <c r="T38" s="85"/>
      <c r="U38" s="79">
        <f>U37*U24</f>
        <v>5018435.8050544737</v>
      </c>
      <c r="V38" s="79">
        <f t="shared" ref="V38:AG38" si="11">V37*V24</f>
        <v>6730875.6200000038</v>
      </c>
      <c r="W38" s="79">
        <f t="shared" si="11"/>
        <v>5647926.4117499832</v>
      </c>
      <c r="X38" s="79">
        <f>X37*X24</f>
        <v>12938502.509450953</v>
      </c>
      <c r="Y38" s="79">
        <f t="shared" si="11"/>
        <v>4071322.0526315803</v>
      </c>
      <c r="Z38" s="79">
        <f t="shared" si="11"/>
        <v>3998251.5225026314</v>
      </c>
      <c r="AA38" s="79">
        <f t="shared" si="11"/>
        <v>2292292.9358552634</v>
      </c>
      <c r="AB38" s="79">
        <f t="shared" si="11"/>
        <v>5929439.1500000013</v>
      </c>
      <c r="AC38" s="79">
        <f t="shared" si="11"/>
        <v>1382324.8399999999</v>
      </c>
      <c r="AD38" s="79">
        <f t="shared" si="11"/>
        <v>840158.52355263208</v>
      </c>
      <c r="AE38" s="79">
        <f t="shared" si="11"/>
        <v>1468163.7989473708</v>
      </c>
      <c r="AF38" s="79">
        <f t="shared" si="11"/>
        <v>7907053.1797210565</v>
      </c>
      <c r="AG38" s="79">
        <f t="shared" si="11"/>
        <v>2563401.1221052641</v>
      </c>
      <c r="AH38" s="79">
        <f>AH37*AH24</f>
        <v>60825825.472571194</v>
      </c>
    </row>
    <row r="39" spans="3:37" ht="14.1" customHeight="1" x14ac:dyDescent="0.2">
      <c r="C39" s="85"/>
      <c r="D39" s="79"/>
      <c r="E39" s="86"/>
      <c r="F39" s="79"/>
      <c r="G39" s="87"/>
      <c r="H39" s="79"/>
      <c r="I39" s="79"/>
      <c r="J39" s="79"/>
      <c r="K39" s="79"/>
      <c r="L39" s="79"/>
      <c r="M39" s="79"/>
      <c r="N39" s="79"/>
      <c r="O39" s="79"/>
      <c r="P39" s="79"/>
      <c r="T39" s="92" t="s">
        <v>52</v>
      </c>
      <c r="U39" s="93" t="s">
        <v>53</v>
      </c>
      <c r="V39" s="94" t="s">
        <v>53</v>
      </c>
      <c r="W39" s="93" t="s">
        <v>53</v>
      </c>
      <c r="X39" s="93" t="s">
        <v>53</v>
      </c>
      <c r="Y39" s="93" t="s">
        <v>53</v>
      </c>
      <c r="Z39" s="93" t="s">
        <v>53</v>
      </c>
      <c r="AA39" s="93"/>
      <c r="AB39" s="93" t="s">
        <v>53</v>
      </c>
      <c r="AC39" s="93" t="s">
        <v>53</v>
      </c>
      <c r="AD39" s="93"/>
      <c r="AE39" s="93"/>
      <c r="AF39" s="93" t="s">
        <v>53</v>
      </c>
      <c r="AG39" s="93" t="s">
        <v>53</v>
      </c>
      <c r="AH39" s="95">
        <f>AH38/1000000</f>
        <v>60.825825472571196</v>
      </c>
      <c r="AI39" s="77">
        <f>(AH33/AH36)-1</f>
        <v>0.27780616513145096</v>
      </c>
    </row>
    <row r="40" spans="3:37" ht="14.1" customHeight="1" x14ac:dyDescent="0.2">
      <c r="C40" s="85"/>
      <c r="D40" s="79"/>
      <c r="E40" s="86"/>
      <c r="F40" s="79"/>
      <c r="G40" s="87"/>
      <c r="H40" s="79"/>
      <c r="I40" s="79"/>
      <c r="J40" s="79"/>
      <c r="K40" s="79"/>
      <c r="L40" s="79"/>
      <c r="M40" s="79"/>
      <c r="N40" s="79"/>
      <c r="O40" s="79"/>
      <c r="P40" s="79"/>
      <c r="T40" s="85"/>
      <c r="U40" s="79">
        <f>U34*U24</f>
        <v>12095230.011300001</v>
      </c>
      <c r="V40" s="79">
        <f t="shared" ref="V40:AF40" si="12">V34*V24</f>
        <v>33436481.999999996</v>
      </c>
      <c r="W40" s="79">
        <f t="shared" si="12"/>
        <v>32957346.134999998</v>
      </c>
      <c r="X40" s="79">
        <f t="shared" si="12"/>
        <v>32004789.601510242</v>
      </c>
      <c r="Y40" s="79">
        <f t="shared" si="12"/>
        <v>19968420</v>
      </c>
      <c r="Z40" s="79">
        <f t="shared" si="12"/>
        <v>14049334.208999999</v>
      </c>
      <c r="AA40" s="79">
        <f t="shared" si="12"/>
        <v>5200109.375</v>
      </c>
      <c r="AB40" s="79">
        <f t="shared" si="12"/>
        <v>22963682.999999996</v>
      </c>
      <c r="AC40" s="79">
        <f t="shared" si="12"/>
        <v>7568172.7999999998</v>
      </c>
      <c r="AD40" s="79">
        <f t="shared" si="12"/>
        <v>1933467.05</v>
      </c>
      <c r="AE40" s="79">
        <f t="shared" si="12"/>
        <v>7990200.3999999994</v>
      </c>
      <c r="AF40" s="79">
        <f t="shared" si="12"/>
        <v>34497683.145999998</v>
      </c>
      <c r="AG40" s="79">
        <f>AG34*AG24</f>
        <v>5809394.0199999996</v>
      </c>
      <c r="AH40" s="79">
        <f>SUM(U40:AG40)/AH24</f>
        <v>123.59687089727483</v>
      </c>
    </row>
    <row r="41" spans="3:37" ht="14.1" customHeight="1" x14ac:dyDescent="0.2">
      <c r="C41" s="85"/>
      <c r="D41" s="79"/>
      <c r="E41" s="86"/>
      <c r="F41" s="79"/>
      <c r="G41" s="87"/>
      <c r="H41" s="79"/>
      <c r="I41" s="79"/>
      <c r="J41" s="79"/>
      <c r="K41" s="79"/>
      <c r="L41" s="79"/>
      <c r="M41" s="79"/>
      <c r="N41" s="79"/>
      <c r="O41" s="79"/>
      <c r="P41" s="79"/>
      <c r="T41" s="85"/>
      <c r="U41" s="79">
        <f>(U33-U36)*U24</f>
        <v>5018435.8050544737</v>
      </c>
      <c r="V41" s="79">
        <f t="shared" ref="V41:AH41" si="13">(V33-V36)*V24</f>
        <v>6730875.6200000038</v>
      </c>
      <c r="W41" s="79">
        <f t="shared" si="13"/>
        <v>5647926.4117499832</v>
      </c>
      <c r="X41" s="79">
        <f t="shared" si="13"/>
        <v>12938502.509450953</v>
      </c>
      <c r="Y41" s="79">
        <f t="shared" si="13"/>
        <v>4071322.0526315803</v>
      </c>
      <c r="Z41" s="79">
        <f t="shared" si="13"/>
        <v>3998251.5225026314</v>
      </c>
      <c r="AA41" s="79">
        <f t="shared" si="13"/>
        <v>2292292.9358552634</v>
      </c>
      <c r="AB41" s="79">
        <f t="shared" si="13"/>
        <v>5929439.1500000013</v>
      </c>
      <c r="AC41" s="79">
        <f t="shared" si="13"/>
        <v>1382324.8399999999</v>
      </c>
      <c r="AD41" s="79">
        <f t="shared" si="13"/>
        <v>840158.52355263208</v>
      </c>
      <c r="AE41" s="79">
        <f t="shared" si="13"/>
        <v>1468163.7989473708</v>
      </c>
      <c r="AF41" s="79">
        <f t="shared" si="13"/>
        <v>7907053.1797210565</v>
      </c>
      <c r="AG41" s="79">
        <f t="shared" si="13"/>
        <v>2563401.1221052641</v>
      </c>
      <c r="AH41" s="79">
        <f t="shared" si="13"/>
        <v>60825825.472571194</v>
      </c>
    </row>
    <row r="42" spans="3:37" ht="14.1" customHeight="1" x14ac:dyDescent="0.2">
      <c r="C42" s="85"/>
      <c r="D42" s="79"/>
      <c r="E42" s="86"/>
      <c r="F42" s="79"/>
      <c r="G42" s="87"/>
      <c r="H42" s="79"/>
      <c r="I42" s="79"/>
      <c r="J42" s="79"/>
      <c r="K42" s="79"/>
      <c r="L42" s="79"/>
      <c r="M42" s="79"/>
      <c r="N42" s="79"/>
      <c r="O42" s="79"/>
      <c r="P42" s="79"/>
      <c r="T42" s="85"/>
      <c r="U42" s="79"/>
      <c r="V42" s="86"/>
      <c r="W42" s="79" t="s">
        <v>52</v>
      </c>
      <c r="X42" s="88"/>
      <c r="Y42" s="79"/>
      <c r="Z42" s="79"/>
      <c r="AA42" s="79"/>
      <c r="AB42" s="79"/>
      <c r="AC42" s="79"/>
      <c r="AD42" s="79"/>
      <c r="AE42" s="79"/>
      <c r="AF42" s="79"/>
      <c r="AG42" s="79">
        <f>(AH33-AH36)*AH24</f>
        <v>60825825.472571194</v>
      </c>
      <c r="AH42" s="79">
        <f>((AH33-AH36)*AH24)/1000000</f>
        <v>60.825825472571196</v>
      </c>
    </row>
    <row r="43" spans="3:37" ht="14.1" customHeight="1" x14ac:dyDescent="0.2">
      <c r="C43" s="85"/>
      <c r="D43" s="79"/>
      <c r="E43" s="86"/>
      <c r="F43" s="79"/>
      <c r="G43" s="87"/>
      <c r="H43" s="79"/>
      <c r="I43" s="79"/>
      <c r="J43" s="79"/>
      <c r="K43" s="79"/>
      <c r="L43" s="79"/>
      <c r="M43" s="79"/>
      <c r="N43" s="79"/>
      <c r="O43" s="79"/>
      <c r="P43" s="79"/>
      <c r="T43" s="85"/>
      <c r="U43" s="79"/>
      <c r="V43" s="86"/>
      <c r="W43" s="79"/>
      <c r="X43" s="88"/>
      <c r="Y43" s="79"/>
      <c r="Z43" s="79"/>
      <c r="AA43" s="79"/>
      <c r="AB43" s="79"/>
      <c r="AC43" s="79"/>
      <c r="AD43" s="79"/>
      <c r="AE43" s="79"/>
      <c r="AF43" s="79"/>
      <c r="AG43" s="79"/>
      <c r="AH43" s="79"/>
    </row>
    <row r="44" spans="3:37" x14ac:dyDescent="0.2">
      <c r="U44" s="61">
        <f t="shared" ref="U44:AE44" si="14">U33-U36</f>
        <v>54.780610101860091</v>
      </c>
      <c r="V44" s="61">
        <f t="shared" si="14"/>
        <v>24.156401214697183</v>
      </c>
      <c r="W44" s="61">
        <f t="shared" si="14"/>
        <v>23.988483049524604</v>
      </c>
      <c r="X44" s="61">
        <f t="shared" si="14"/>
        <v>46.785900300000748</v>
      </c>
      <c r="Y44" s="61">
        <f t="shared" si="14"/>
        <v>24.466565021959156</v>
      </c>
      <c r="Z44" s="61">
        <f t="shared" si="14"/>
        <v>36.546604478301077</v>
      </c>
      <c r="AA44" s="61">
        <f t="shared" si="14"/>
        <v>51.795914381703454</v>
      </c>
      <c r="AB44" s="61">
        <f t="shared" si="14"/>
        <v>29.694082706593719</v>
      </c>
      <c r="AC44" s="61">
        <f t="shared" si="14"/>
        <v>23.379167494695679</v>
      </c>
      <c r="AD44" s="61">
        <f t="shared" si="14"/>
        <v>55.185906835694084</v>
      </c>
      <c r="AE44" s="61">
        <f t="shared" si="14"/>
        <v>22.7844486941121</v>
      </c>
      <c r="AF44" s="61"/>
      <c r="AG44" s="61"/>
      <c r="AH44" s="61">
        <f>AH33-AH36</f>
        <v>32.619174089908</v>
      </c>
    </row>
    <row r="45" spans="3:37" x14ac:dyDescent="0.2">
      <c r="U45" s="64">
        <f t="shared" ref="U45:AE45" si="15">U44*U24</f>
        <v>5018435.8050544737</v>
      </c>
      <c r="V45" s="64">
        <f t="shared" si="15"/>
        <v>6730875.6200000038</v>
      </c>
      <c r="W45" s="64">
        <f t="shared" si="15"/>
        <v>5647926.4117499832</v>
      </c>
      <c r="X45" s="64">
        <f t="shared" si="15"/>
        <v>12938502.509450953</v>
      </c>
      <c r="Y45" s="64">
        <f t="shared" si="15"/>
        <v>4071322.0526315803</v>
      </c>
      <c r="Z45" s="64">
        <f t="shared" si="15"/>
        <v>3998251.5225026314</v>
      </c>
      <c r="AA45" s="64">
        <f t="shared" si="15"/>
        <v>2292292.9358552634</v>
      </c>
      <c r="AB45" s="64">
        <f t="shared" si="15"/>
        <v>5929439.1500000013</v>
      </c>
      <c r="AC45" s="64">
        <f t="shared" si="15"/>
        <v>1382324.8399999999</v>
      </c>
      <c r="AD45" s="64">
        <f t="shared" si="15"/>
        <v>840158.52355263208</v>
      </c>
      <c r="AE45" s="64">
        <f t="shared" si="15"/>
        <v>1468163.7989473708</v>
      </c>
      <c r="AF45" s="64"/>
      <c r="AG45" s="77"/>
      <c r="AH45" s="64">
        <f>AH44*AH24</f>
        <v>60825825.472571194</v>
      </c>
    </row>
    <row r="46" spans="3:37" ht="15" x14ac:dyDescent="0.2">
      <c r="D46" s="1" t="s">
        <v>29</v>
      </c>
      <c r="E46" s="1" t="s">
        <v>30</v>
      </c>
      <c r="F46" s="1" t="s">
        <v>31</v>
      </c>
      <c r="G46" s="1" t="s">
        <v>32</v>
      </c>
      <c r="H46" s="1" t="s">
        <v>33</v>
      </c>
      <c r="I46" s="1" t="s">
        <v>34</v>
      </c>
      <c r="AH46" s="64">
        <f>SUM(U45:AE45)</f>
        <v>50317693.169744894</v>
      </c>
    </row>
    <row r="47" spans="3:37" x14ac:dyDescent="0.2">
      <c r="T47" t="s">
        <v>43</v>
      </c>
      <c r="U47">
        <v>157.99892806099743</v>
      </c>
    </row>
    <row r="48" spans="3:37" x14ac:dyDescent="0.2">
      <c r="C48" t="s">
        <v>43</v>
      </c>
      <c r="D48">
        <v>180.20911010186009</v>
      </c>
      <c r="E48">
        <v>138.15640121469718</v>
      </c>
      <c r="F48">
        <v>154.00828044713367</v>
      </c>
      <c r="G48" s="74">
        <v>149.18997458587828</v>
      </c>
      <c r="H48">
        <v>139.93961358602257</v>
      </c>
      <c r="I48">
        <v>158.54560447830107</v>
      </c>
      <c r="T48" t="s">
        <v>44</v>
      </c>
      <c r="U48">
        <v>117.49963791458065</v>
      </c>
      <c r="V48">
        <f>V33/V36</f>
        <v>1.2118982562692735</v>
      </c>
    </row>
    <row r="49" spans="3:35" x14ac:dyDescent="0.2">
      <c r="C49" t="s">
        <v>44</v>
      </c>
      <c r="D49">
        <v>125.4285</v>
      </c>
      <c r="E49">
        <v>114</v>
      </c>
      <c r="F49">
        <v>132.98099999999999</v>
      </c>
      <c r="G49" s="74">
        <v>109.25</v>
      </c>
      <c r="H49">
        <v>114</v>
      </c>
      <c r="I49">
        <v>121.999</v>
      </c>
      <c r="V49" s="64">
        <f>(V33-V36)*V24</f>
        <v>6730875.6200000038</v>
      </c>
      <c r="X49">
        <f>231710951/1588450</f>
        <v>145.87236047719475</v>
      </c>
      <c r="AH49">
        <f>SUMPRODUCT(U33:AE33,U24:AE24)/SUM(U24:AE24)</f>
        <v>149.90979360717003</v>
      </c>
    </row>
    <row r="51" spans="3:35" ht="15" x14ac:dyDescent="0.2">
      <c r="D51" s="1" t="s">
        <v>29</v>
      </c>
      <c r="E51" s="1" t="s">
        <v>30</v>
      </c>
      <c r="F51" s="1" t="s">
        <v>31</v>
      </c>
      <c r="G51" s="1" t="s">
        <v>32</v>
      </c>
      <c r="H51" s="1" t="s">
        <v>33</v>
      </c>
      <c r="I51" s="1" t="s">
        <v>34</v>
      </c>
      <c r="J51" s="1" t="s">
        <v>35</v>
      </c>
      <c r="K51" s="1" t="s">
        <v>36</v>
      </c>
      <c r="L51" s="1" t="s">
        <v>37</v>
      </c>
      <c r="M51" s="1" t="s">
        <v>38</v>
      </c>
      <c r="N51" s="1" t="s">
        <v>39</v>
      </c>
      <c r="O51" s="1" t="s">
        <v>40</v>
      </c>
      <c r="P51" s="1" t="s">
        <v>41</v>
      </c>
      <c r="U51" s="1" t="s">
        <v>29</v>
      </c>
      <c r="V51" s="1" t="s">
        <v>30</v>
      </c>
      <c r="W51" s="1" t="s">
        <v>31</v>
      </c>
      <c r="X51" s="59" t="s">
        <v>32</v>
      </c>
      <c r="Y51" s="1" t="s">
        <v>33</v>
      </c>
      <c r="Z51" s="1" t="s">
        <v>34</v>
      </c>
      <c r="AA51" s="1" t="s">
        <v>35</v>
      </c>
      <c r="AB51" s="1" t="s">
        <v>36</v>
      </c>
      <c r="AC51" s="1" t="s">
        <v>37</v>
      </c>
      <c r="AD51" s="1" t="s">
        <v>38</v>
      </c>
      <c r="AE51" s="1" t="s">
        <v>39</v>
      </c>
      <c r="AF51" s="78"/>
      <c r="AG51" s="78"/>
    </row>
    <row r="52" spans="3:35" x14ac:dyDescent="0.2">
      <c r="C52" t="s">
        <v>43</v>
      </c>
      <c r="D52">
        <v>180.20911010186009</v>
      </c>
      <c r="E52">
        <v>138.15640121469718</v>
      </c>
      <c r="F52">
        <v>154.00828044713367</v>
      </c>
      <c r="G52" s="74">
        <v>149.18997458587828</v>
      </c>
      <c r="H52">
        <v>138.46656502195916</v>
      </c>
      <c r="I52">
        <v>158.54560447830107</v>
      </c>
      <c r="J52">
        <v>163.42091438170345</v>
      </c>
      <c r="K52">
        <v>138.94408270659372</v>
      </c>
      <c r="L52">
        <v>144.97916749469567</v>
      </c>
      <c r="M52">
        <v>175.83590683569409</v>
      </c>
      <c r="N52">
        <v>140.5844486941121</v>
      </c>
      <c r="O52" s="61">
        <f>O30</f>
        <v>132.43072029928541</v>
      </c>
      <c r="U52" s="64">
        <v>15683459.100000001</v>
      </c>
      <c r="V52" s="64">
        <v>38495533.520000003</v>
      </c>
      <c r="W52" s="64">
        <v>42530772.719999991</v>
      </c>
      <c r="X52" s="64">
        <v>42297247.304099314</v>
      </c>
      <c r="Y52" s="64">
        <v>21889255</v>
      </c>
      <c r="Z52" s="64">
        <v>16477863.070000004</v>
      </c>
      <c r="AA52" s="64">
        <v>6870777</v>
      </c>
      <c r="AB52" s="64">
        <v>27744938</v>
      </c>
      <c r="AC52" s="64">
        <v>8572089</v>
      </c>
      <c r="AD52" s="64">
        <v>2543104.6100000003</v>
      </c>
      <c r="AE52" s="64">
        <v>8605911.4700000007</v>
      </c>
      <c r="AF52" s="64"/>
      <c r="AG52" s="64"/>
      <c r="AH52">
        <f>SUM(U52:AE52)/SUM(U54:AE54)</f>
        <v>145.87220192450252</v>
      </c>
    </row>
    <row r="53" spans="3:35" x14ac:dyDescent="0.2">
      <c r="C53" t="s">
        <v>44</v>
      </c>
      <c r="D53">
        <v>125.4285</v>
      </c>
      <c r="E53">
        <v>114</v>
      </c>
      <c r="F53">
        <v>132.98099999999999</v>
      </c>
      <c r="G53" s="74">
        <v>109.25</v>
      </c>
      <c r="H53">
        <v>114</v>
      </c>
      <c r="I53">
        <v>121.999</v>
      </c>
      <c r="J53">
        <v>111.625</v>
      </c>
      <c r="K53">
        <v>109.25</v>
      </c>
      <c r="L53">
        <v>121.6</v>
      </c>
      <c r="M53">
        <v>120.65</v>
      </c>
      <c r="N53">
        <v>117.8</v>
      </c>
      <c r="O53">
        <v>87.4</v>
      </c>
      <c r="U53">
        <v>171.19865459676708</v>
      </c>
      <c r="V53">
        <v>138.15640121469718</v>
      </c>
      <c r="W53">
        <v>154.00828044713367</v>
      </c>
      <c r="X53">
        <v>149.18997458587828</v>
      </c>
      <c r="Y53">
        <v>131.5432367708612</v>
      </c>
      <c r="Z53">
        <v>150.61832425438607</v>
      </c>
      <c r="AA53">
        <v>155.24986866261827</v>
      </c>
      <c r="AB53">
        <v>138.94408270659372</v>
      </c>
      <c r="AC53">
        <v>144.97916749469567</v>
      </c>
      <c r="AD53">
        <v>167.04411149390938</v>
      </c>
      <c r="AE53">
        <v>133.555226259406</v>
      </c>
    </row>
    <row r="54" spans="3:35" x14ac:dyDescent="0.2">
      <c r="U54" s="64">
        <v>91609.71</v>
      </c>
      <c r="V54" s="64">
        <v>278637.34999999998</v>
      </c>
      <c r="W54" s="64">
        <v>276159</v>
      </c>
      <c r="X54" s="64">
        <v>283512.66512048192</v>
      </c>
      <c r="Y54" s="64">
        <v>166403.5</v>
      </c>
      <c r="Z54" s="64">
        <v>109401.45</v>
      </c>
      <c r="AA54" s="64">
        <v>44256.25</v>
      </c>
      <c r="AB54" s="64">
        <v>199684.19999999998</v>
      </c>
      <c r="AC54" s="64">
        <v>59126.35</v>
      </c>
      <c r="AD54" s="64">
        <v>15224.15</v>
      </c>
      <c r="AE54" s="64">
        <v>64437.1</v>
      </c>
      <c r="AF54" s="64"/>
      <c r="AG54" s="64"/>
    </row>
    <row r="55" spans="3:35" ht="15" x14ac:dyDescent="0.2">
      <c r="D55" s="1" t="s">
        <v>29</v>
      </c>
      <c r="E55" s="1" t="s">
        <v>30</v>
      </c>
      <c r="F55" s="1" t="s">
        <v>31</v>
      </c>
      <c r="G55" s="1" t="s">
        <v>32</v>
      </c>
      <c r="H55" s="1" t="s">
        <v>33</v>
      </c>
      <c r="I55" s="1" t="s">
        <v>34</v>
      </c>
      <c r="J55" s="1" t="s">
        <v>35</v>
      </c>
      <c r="K55" s="1" t="s">
        <v>36</v>
      </c>
      <c r="L55" s="1" t="s">
        <v>37</v>
      </c>
      <c r="M55" s="1" t="s">
        <v>38</v>
      </c>
      <c r="N55" s="1" t="s">
        <v>39</v>
      </c>
      <c r="P55" s="1" t="s">
        <v>41</v>
      </c>
      <c r="U55">
        <f>U52/U54</f>
        <v>171.19865459676708</v>
      </c>
      <c r="V55">
        <f t="shared" ref="V55:AE55" si="16">V52/V54</f>
        <v>138.15640121469718</v>
      </c>
      <c r="W55">
        <f t="shared" si="16"/>
        <v>154.00828044713367</v>
      </c>
      <c r="X55">
        <f t="shared" si="16"/>
        <v>149.18997458587828</v>
      </c>
      <c r="Y55">
        <f t="shared" si="16"/>
        <v>131.5432367708612</v>
      </c>
      <c r="Z55">
        <f t="shared" si="16"/>
        <v>150.61832425438607</v>
      </c>
      <c r="AA55">
        <f t="shared" si="16"/>
        <v>155.24986866261827</v>
      </c>
      <c r="AB55">
        <f t="shared" si="16"/>
        <v>138.94408270659372</v>
      </c>
      <c r="AC55">
        <f t="shared" si="16"/>
        <v>144.97916749469567</v>
      </c>
      <c r="AD55">
        <f t="shared" si="16"/>
        <v>167.04411149390938</v>
      </c>
      <c r="AE55">
        <f t="shared" si="16"/>
        <v>133.55522625940648</v>
      </c>
      <c r="AH55">
        <f>SUMPRODUCT(U55:AE55,U54:AE54)/SUM(U54:AE54)</f>
        <v>145.87220192450249</v>
      </c>
    </row>
    <row r="56" spans="3:35" x14ac:dyDescent="0.2">
      <c r="C56" t="s">
        <v>43</v>
      </c>
      <c r="D56">
        <v>180.20911010186001</v>
      </c>
      <c r="E56">
        <v>138.15640121469718</v>
      </c>
      <c r="F56">
        <v>154.00828044713367</v>
      </c>
      <c r="G56" s="74">
        <v>149.18997458587828</v>
      </c>
      <c r="H56">
        <v>138.46656502195916</v>
      </c>
      <c r="I56">
        <v>158.54560447830107</v>
      </c>
      <c r="J56">
        <v>163.42091438170345</v>
      </c>
      <c r="K56">
        <v>138.94408270659372</v>
      </c>
      <c r="L56">
        <v>144.97916749469567</v>
      </c>
      <c r="M56">
        <v>175.83590683569409</v>
      </c>
      <c r="N56">
        <v>140.5844486941121</v>
      </c>
      <c r="U56">
        <f>U55/0.95</f>
        <v>180.20911010186009</v>
      </c>
      <c r="X56">
        <f t="shared" ref="X56:AE56" si="17">X55/0.95</f>
        <v>157.04207851145082</v>
      </c>
      <c r="Y56">
        <f t="shared" si="17"/>
        <v>138.46656502195916</v>
      </c>
      <c r="Z56">
        <f t="shared" si="17"/>
        <v>158.54560447830113</v>
      </c>
      <c r="AA56">
        <f t="shared" si="17"/>
        <v>163.42091438170345</v>
      </c>
      <c r="AD56">
        <f t="shared" si="17"/>
        <v>175.83590683569409</v>
      </c>
      <c r="AE56">
        <f t="shared" si="17"/>
        <v>140.5844486941121</v>
      </c>
    </row>
    <row r="57" spans="3:35" x14ac:dyDescent="0.2">
      <c r="C57" t="s">
        <v>44</v>
      </c>
      <c r="D57">
        <v>125.4285</v>
      </c>
      <c r="E57">
        <v>114</v>
      </c>
      <c r="F57">
        <v>132.98099999999999</v>
      </c>
      <c r="G57" s="74">
        <v>109.25</v>
      </c>
      <c r="H57">
        <v>114</v>
      </c>
      <c r="I57">
        <v>121.999</v>
      </c>
      <c r="J57">
        <v>111.625</v>
      </c>
      <c r="K57">
        <v>109.25</v>
      </c>
      <c r="L57">
        <v>121.6</v>
      </c>
      <c r="M57">
        <v>120.65</v>
      </c>
      <c r="N57">
        <v>117.8</v>
      </c>
      <c r="U57">
        <f>IF(U18=0,U23/0.95,U23)</f>
        <v>180.20911010186009</v>
      </c>
      <c r="V57">
        <f t="shared" ref="V57:AE57" si="18">IF(V18=0,V23/0.95,V23)</f>
        <v>138.15640121469718</v>
      </c>
      <c r="W57">
        <f t="shared" si="18"/>
        <v>156.9694830495246</v>
      </c>
      <c r="X57">
        <f t="shared" si="18"/>
        <v>156.72940030000075</v>
      </c>
      <c r="Y57">
        <f t="shared" si="18"/>
        <v>138.46656502195916</v>
      </c>
      <c r="Z57">
        <f t="shared" si="18"/>
        <v>158.54560447830107</v>
      </c>
      <c r="AA57">
        <f t="shared" si="18"/>
        <v>163.42091438170345</v>
      </c>
      <c r="AB57">
        <f t="shared" si="18"/>
        <v>138.94408270659372</v>
      </c>
      <c r="AC57">
        <f t="shared" si="18"/>
        <v>144.97916749469567</v>
      </c>
      <c r="AD57">
        <f t="shared" si="18"/>
        <v>175.83590683569409</v>
      </c>
      <c r="AE57">
        <f t="shared" si="18"/>
        <v>140.5844486941121</v>
      </c>
    </row>
    <row r="58" spans="3:35" x14ac:dyDescent="0.2">
      <c r="U58">
        <f>U57-U55</f>
        <v>9.010455505093006</v>
      </c>
      <c r="V58">
        <f t="shared" ref="V58:AE58" si="19">V57-V55</f>
        <v>0</v>
      </c>
      <c r="W58">
        <f t="shared" si="19"/>
        <v>2.9612026023909266</v>
      </c>
      <c r="X58">
        <f t="shared" si="19"/>
        <v>7.5394257141224728</v>
      </c>
      <c r="Y58">
        <f t="shared" si="19"/>
        <v>6.9233282510979564</v>
      </c>
      <c r="Z58">
        <f t="shared" si="19"/>
        <v>7.9272802239150053</v>
      </c>
      <c r="AA58">
        <f t="shared" si="19"/>
        <v>8.1710457190851855</v>
      </c>
      <c r="AB58">
        <f t="shared" si="19"/>
        <v>0</v>
      </c>
      <c r="AC58">
        <f t="shared" si="19"/>
        <v>0</v>
      </c>
      <c r="AD58">
        <f t="shared" si="19"/>
        <v>8.7917953417847059</v>
      </c>
      <c r="AE58">
        <f t="shared" si="19"/>
        <v>7.0292224347056163</v>
      </c>
    </row>
    <row r="59" spans="3:35" x14ac:dyDescent="0.2">
      <c r="U59">
        <f>U24*U58</f>
        <v>825445.21578947385</v>
      </c>
      <c r="V59">
        <f t="shared" ref="V59:AE59" si="20">V24*V58</f>
        <v>0</v>
      </c>
      <c r="W59">
        <f t="shared" si="20"/>
        <v>697195.16461537755</v>
      </c>
      <c r="X59">
        <f t="shared" si="20"/>
        <v>2085005.9076877721</v>
      </c>
      <c r="Y59">
        <f t="shared" si="20"/>
        <v>1152066.0526315789</v>
      </c>
      <c r="Z59">
        <f t="shared" si="20"/>
        <v>867255.95105262625</v>
      </c>
      <c r="AA59">
        <f t="shared" si="20"/>
        <v>361619.84210526373</v>
      </c>
      <c r="AB59">
        <f t="shared" si="20"/>
        <v>0</v>
      </c>
      <c r="AC59">
        <f t="shared" si="20"/>
        <v>0</v>
      </c>
      <c r="AD59">
        <f t="shared" si="20"/>
        <v>133847.61105263163</v>
      </c>
      <c r="AE59">
        <f t="shared" si="20"/>
        <v>452942.70894736925</v>
      </c>
    </row>
    <row r="60" spans="3:35" x14ac:dyDescent="0.2">
      <c r="U60" s="64">
        <f>U59+U22</f>
        <v>16508904.315789476</v>
      </c>
      <c r="V60" s="64">
        <f t="shared" ref="V60:AE60" si="21">V59+V22</f>
        <v>38495533.520000003</v>
      </c>
      <c r="W60" s="64">
        <f t="shared" si="21"/>
        <v>37654600.404615358</v>
      </c>
      <c r="X60" s="64">
        <f t="shared" si="21"/>
        <v>43260905.907029167</v>
      </c>
      <c r="Y60" s="64">
        <f t="shared" si="21"/>
        <v>23041321.052631579</v>
      </c>
      <c r="Z60" s="64">
        <f t="shared" si="21"/>
        <v>17345119.021052625</v>
      </c>
      <c r="AA60" s="64">
        <f t="shared" si="21"/>
        <v>7232396.8421052638</v>
      </c>
      <c r="AB60" s="64">
        <f t="shared" si="21"/>
        <v>27744938</v>
      </c>
      <c r="AC60" s="64">
        <f t="shared" si="21"/>
        <v>8572089</v>
      </c>
      <c r="AD60" s="64">
        <f t="shared" si="21"/>
        <v>2676952.2210526317</v>
      </c>
      <c r="AE60" s="64">
        <f t="shared" si="21"/>
        <v>9058854.1789473705</v>
      </c>
      <c r="AF60" s="64"/>
      <c r="AG60" s="64"/>
      <c r="AH60" s="64">
        <f>SUM(U60:AE60)</f>
        <v>231591614.46322349</v>
      </c>
    </row>
    <row r="61" spans="3:35" x14ac:dyDescent="0.2">
      <c r="U61" s="61">
        <f>U33-U36</f>
        <v>54.780610101860091</v>
      </c>
      <c r="V61" s="61">
        <f t="shared" ref="V61:AE61" si="22">V33-V36</f>
        <v>24.156401214697183</v>
      </c>
      <c r="W61" s="61">
        <f t="shared" si="22"/>
        <v>23.988483049524604</v>
      </c>
      <c r="X61" s="61">
        <f t="shared" si="22"/>
        <v>46.785900300000748</v>
      </c>
      <c r="Y61" s="61">
        <f t="shared" si="22"/>
        <v>24.466565021959156</v>
      </c>
      <c r="Z61" s="61">
        <f t="shared" si="22"/>
        <v>36.546604478301077</v>
      </c>
      <c r="AA61" s="61">
        <f t="shared" si="22"/>
        <v>51.795914381703454</v>
      </c>
      <c r="AB61" s="61">
        <f t="shared" si="22"/>
        <v>29.694082706593719</v>
      </c>
      <c r="AC61" s="61">
        <f t="shared" si="22"/>
        <v>23.379167494695679</v>
      </c>
      <c r="AD61" s="61">
        <f t="shared" si="22"/>
        <v>55.185906835694084</v>
      </c>
      <c r="AE61" s="61">
        <f t="shared" si="22"/>
        <v>22.7844486941121</v>
      </c>
      <c r="AF61" s="61">
        <f>AF33-AF36</f>
        <v>28.669003872921991</v>
      </c>
      <c r="AG61" s="61">
        <f t="shared" ref="AG61" si="23">AG33-AG36</f>
        <v>53.236937332407024</v>
      </c>
      <c r="AH61">
        <f>AH60/SUM(U54:AE54)</f>
        <v>145.79707447241279</v>
      </c>
    </row>
    <row r="62" spans="3:35" x14ac:dyDescent="0.2">
      <c r="U62">
        <f t="shared" ref="U62:Z62" si="24">U61*U24</f>
        <v>5018435.8050544737</v>
      </c>
      <c r="V62">
        <f t="shared" si="24"/>
        <v>6730875.6200000038</v>
      </c>
      <c r="W62">
        <f t="shared" si="24"/>
        <v>5647926.4117499832</v>
      </c>
      <c r="X62">
        <f t="shared" si="24"/>
        <v>12938502.509450953</v>
      </c>
      <c r="Y62">
        <f t="shared" si="24"/>
        <v>4071322.0526315803</v>
      </c>
      <c r="Z62">
        <f t="shared" si="24"/>
        <v>3998251.5225026314</v>
      </c>
      <c r="AA62">
        <f t="shared" ref="AA62:AG62" si="25">AA61*AA24</f>
        <v>2292292.9358552634</v>
      </c>
      <c r="AB62">
        <f t="shared" si="25"/>
        <v>5929439.1500000013</v>
      </c>
      <c r="AC62">
        <f t="shared" si="25"/>
        <v>1382324.8399999999</v>
      </c>
      <c r="AD62">
        <f t="shared" si="25"/>
        <v>840158.52355263208</v>
      </c>
      <c r="AE62">
        <f t="shared" si="25"/>
        <v>1468163.7989473708</v>
      </c>
      <c r="AF62">
        <f t="shared" si="25"/>
        <v>7907053.1797210565</v>
      </c>
      <c r="AG62">
        <f t="shared" si="25"/>
        <v>2563401.1221052641</v>
      </c>
      <c r="AH62">
        <f>AH61/AH36</f>
        <v>1.2417029945309626</v>
      </c>
      <c r="AI62" s="64">
        <f>SUM(U62:AG62)</f>
        <v>60788147.471571214</v>
      </c>
    </row>
    <row r="63" spans="3:35" x14ac:dyDescent="0.2">
      <c r="AI63" s="84">
        <f>AI62/1000000</f>
        <v>60.788147471571214</v>
      </c>
    </row>
    <row r="65" spans="16:34" ht="15" x14ac:dyDescent="0.2">
      <c r="U65" s="1" t="s">
        <v>29</v>
      </c>
      <c r="V65" s="1" t="s">
        <v>30</v>
      </c>
      <c r="W65" s="1" t="s">
        <v>31</v>
      </c>
      <c r="X65" s="59" t="s">
        <v>32</v>
      </c>
      <c r="Y65" s="1" t="s">
        <v>33</v>
      </c>
      <c r="Z65" s="1" t="s">
        <v>34</v>
      </c>
      <c r="AA65" s="1" t="s">
        <v>35</v>
      </c>
      <c r="AB65" s="1" t="s">
        <v>36</v>
      </c>
      <c r="AC65" s="1" t="s">
        <v>37</v>
      </c>
      <c r="AD65" s="1" t="s">
        <v>55</v>
      </c>
      <c r="AE65" s="1" t="s">
        <v>54</v>
      </c>
      <c r="AF65" s="1" t="s">
        <v>51</v>
      </c>
      <c r="AG65" s="1" t="s">
        <v>50</v>
      </c>
    </row>
    <row r="66" spans="16:34" ht="15" x14ac:dyDescent="0.2">
      <c r="T66" t="s">
        <v>47</v>
      </c>
      <c r="U66" s="26">
        <f>U33</f>
        <v>180.20911010186009</v>
      </c>
      <c r="V66" s="26">
        <f t="shared" ref="V66:AG66" si="26">V33</f>
        <v>138.15640121469718</v>
      </c>
      <c r="W66" s="26">
        <f t="shared" si="26"/>
        <v>156.9694830495246</v>
      </c>
      <c r="X66" s="26">
        <f t="shared" si="26"/>
        <v>156.72940030000075</v>
      </c>
      <c r="Y66" s="26">
        <f t="shared" si="26"/>
        <v>138.46656502195916</v>
      </c>
      <c r="Z66" s="26">
        <f t="shared" si="26"/>
        <v>158.54560447830107</v>
      </c>
      <c r="AA66" s="26">
        <f t="shared" si="26"/>
        <v>163.42091438170345</v>
      </c>
      <c r="AB66" s="26">
        <f t="shared" si="26"/>
        <v>138.94408270659372</v>
      </c>
      <c r="AC66" s="26">
        <f t="shared" si="26"/>
        <v>144.97916749469567</v>
      </c>
      <c r="AD66" s="26">
        <f t="shared" si="26"/>
        <v>175.83590683569409</v>
      </c>
      <c r="AE66" s="26">
        <f t="shared" si="26"/>
        <v>140.5844486941121</v>
      </c>
      <c r="AF66" s="26">
        <f t="shared" si="26"/>
        <v>147.49500387292198</v>
      </c>
      <c r="AG66" s="26">
        <f t="shared" si="26"/>
        <v>168.63693733240703</v>
      </c>
    </row>
    <row r="67" spans="16:34" ht="15" x14ac:dyDescent="0.2">
      <c r="T67" t="s">
        <v>44</v>
      </c>
      <c r="U67" s="30">
        <f>U36</f>
        <v>125.4285</v>
      </c>
      <c r="V67" s="30">
        <f t="shared" ref="V67:AG67" si="27">V36</f>
        <v>114</v>
      </c>
      <c r="W67" s="30">
        <f t="shared" si="27"/>
        <v>132.98099999999999</v>
      </c>
      <c r="X67" s="30">
        <f t="shared" si="27"/>
        <v>109.9435</v>
      </c>
      <c r="Y67" s="30">
        <f t="shared" si="27"/>
        <v>114</v>
      </c>
      <c r="Z67" s="30">
        <f t="shared" si="27"/>
        <v>121.999</v>
      </c>
      <c r="AA67" s="30">
        <f t="shared" si="27"/>
        <v>111.625</v>
      </c>
      <c r="AB67" s="30">
        <f t="shared" si="27"/>
        <v>109.25</v>
      </c>
      <c r="AC67" s="30">
        <f t="shared" si="27"/>
        <v>121.6</v>
      </c>
      <c r="AD67" s="30">
        <f t="shared" si="27"/>
        <v>120.65</v>
      </c>
      <c r="AE67" s="30">
        <f t="shared" si="27"/>
        <v>117.8</v>
      </c>
      <c r="AF67" s="30">
        <f t="shared" si="27"/>
        <v>118.82599999999999</v>
      </c>
      <c r="AG67" s="30">
        <f t="shared" si="27"/>
        <v>115.4</v>
      </c>
    </row>
    <row r="69" spans="16:34" ht="15" x14ac:dyDescent="0.2">
      <c r="P69" s="1" t="s">
        <v>40</v>
      </c>
      <c r="AH69">
        <f>SUM(U32:AG32)/SUM(U24:AG24)</f>
        <v>150.03620144231908</v>
      </c>
    </row>
    <row r="70" spans="16:34" x14ac:dyDescent="0.2">
      <c r="P70" s="61">
        <f>O35</f>
        <v>-4.6000000000000005</v>
      </c>
      <c r="AH70" s="61">
        <f>AH36</f>
        <v>117.41702735241108</v>
      </c>
    </row>
    <row r="71" spans="16:34" x14ac:dyDescent="0.2">
      <c r="P71">
        <v>87.4</v>
      </c>
      <c r="AH71">
        <f>AH69/AH70</f>
        <v>1.277806165131451</v>
      </c>
    </row>
    <row r="72" spans="16:34" x14ac:dyDescent="0.2">
      <c r="AH72" s="77">
        <f>AH71-1</f>
        <v>0.27780616513145096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</vt:i4>
      </vt:variant>
    </vt:vector>
  </HeadingPairs>
  <TitlesOfParts>
    <vt:vector size="2" baseType="lpstr">
      <vt:lpstr>Taul1 (2)</vt:lpstr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Tiina Kanerva</dc:creator>
  <cp:lastModifiedBy>Tiina Kanerva</cp:lastModifiedBy>
  <dcterms:created xsi:type="dcterms:W3CDTF">2021-10-01T06:34:38Z</dcterms:created>
  <dcterms:modified xsi:type="dcterms:W3CDTF">2021-12-16T16:03:28Z</dcterms:modified>
</cp:coreProperties>
</file>